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8150" windowHeight="12645" activeTab="0"/>
  </bookViews>
  <sheets>
    <sheet name="O6-results and basic formulas" sheetId="1" r:id="rId1"/>
    <sheet name="03konvertoidut" sheetId="2" r:id="rId2"/>
    <sheet name="Sheet7" sheetId="3" r:id="rId3"/>
    <sheet name="Sheet8" sheetId="4" r:id="rId4"/>
    <sheet name="Sheet9" sheetId="5" r:id="rId5"/>
    <sheet name="Sheet10" sheetId="6" r:id="rId6"/>
  </sheets>
  <definedNames>
    <definedName name="T100m">'O6-results and basic formulas'!$B$113</definedName>
    <definedName name="T1500m">'O6-results and basic formulas'!$K$113</definedName>
    <definedName name="T400m">'O6-results and basic formulas'!$F$113</definedName>
    <definedName name="TAidat">'O6-results and basic formulas'!$G$113</definedName>
    <definedName name="TKeihäs">'O6-results and basic formulas'!$J$113</definedName>
    <definedName name="TKiekko">'O6-results and basic formulas'!$H$113</definedName>
    <definedName name="TKorkeus">'O6-results and basic formulas'!$E$113</definedName>
    <definedName name="TKuula">'O6-results and basic formulas'!$D$113</definedName>
    <definedName name="TPituus">'O6-results and basic formulas'!$C$113</definedName>
    <definedName name="Tsata">'O6-results and basic formulas'!$B$113</definedName>
    <definedName name="TSeiväs">'O6-results and basic formulas'!$I$113</definedName>
    <definedName name="_xlnm.Print_Area" localSheetId="0">'O6-results and basic formulas'!$A$1:$P$48</definedName>
  </definedNames>
  <calcPr fullCalcOnLoad="1"/>
</workbook>
</file>

<file path=xl/sharedStrings.xml><?xml version="1.0" encoding="utf-8"?>
<sst xmlns="http://schemas.openxmlformats.org/spreadsheetml/2006/main" count="341" uniqueCount="147">
  <si>
    <t>Korkeus</t>
  </si>
  <si>
    <t>Pituus</t>
  </si>
  <si>
    <t>100+</t>
  </si>
  <si>
    <t>Yhteensä</t>
  </si>
  <si>
    <t>1500m</t>
  </si>
  <si>
    <t>100m</t>
  </si>
  <si>
    <t>400m</t>
  </si>
  <si>
    <t>Seiväs</t>
  </si>
  <si>
    <t>Pisteet</t>
  </si>
  <si>
    <t>Ikä</t>
  </si>
  <si>
    <t>Kerroin</t>
  </si>
  <si>
    <t>6.19,78</t>
  </si>
  <si>
    <t>50: 6 kg</t>
  </si>
  <si>
    <t>60: 5 kg</t>
  </si>
  <si>
    <t>70: 4 kg</t>
  </si>
  <si>
    <t>50: 1,5 kg</t>
  </si>
  <si>
    <t>60: 1,0 kg</t>
  </si>
  <si>
    <t>50: 700g</t>
  </si>
  <si>
    <t>60: 600g</t>
  </si>
  <si>
    <t>70: 500g</t>
  </si>
  <si>
    <t>80: 400g</t>
  </si>
  <si>
    <t>Välinemuutokset</t>
  </si>
  <si>
    <t>Konv. tulos</t>
  </si>
  <si>
    <t>500-vastine</t>
  </si>
  <si>
    <r>
      <t xml:space="preserve">50: 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>/91,4</t>
    </r>
  </si>
  <si>
    <r>
      <t>60: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>/84</t>
    </r>
  </si>
  <si>
    <r>
      <t>70:</t>
    </r>
    <r>
      <rPr>
        <b/>
        <sz val="10"/>
        <rFont val="Arial"/>
        <family val="2"/>
      </rPr>
      <t>80</t>
    </r>
    <r>
      <rPr>
        <sz val="10"/>
        <rFont val="Arial"/>
        <family val="0"/>
      </rPr>
      <t>/76</t>
    </r>
  </si>
  <si>
    <r>
      <t>40:110/</t>
    </r>
    <r>
      <rPr>
        <b/>
        <sz val="10"/>
        <rFont val="Arial"/>
        <family val="2"/>
      </rPr>
      <t>99,2</t>
    </r>
  </si>
  <si>
    <t>4.41,18</t>
  </si>
  <si>
    <t xml:space="preserve">  5.43,7</t>
  </si>
  <si>
    <t>Ikäkerroin-55</t>
  </si>
  <si>
    <t>LASSE 03</t>
  </si>
  <si>
    <t>Vesa K</t>
  </si>
  <si>
    <t>Vesa Ka</t>
  </si>
  <si>
    <t xml:space="preserve">  5.43,2</t>
  </si>
  <si>
    <t>Artturi</t>
  </si>
  <si>
    <t>6.17,1</t>
  </si>
  <si>
    <t>Erkki</t>
  </si>
  <si>
    <t>Asko</t>
  </si>
  <si>
    <t>Timppa</t>
  </si>
  <si>
    <t>9.40,00</t>
  </si>
  <si>
    <t>Risto</t>
  </si>
  <si>
    <t>Olavi</t>
  </si>
  <si>
    <t>Martti</t>
  </si>
  <si>
    <t>6.48,9</t>
  </si>
  <si>
    <t>Janne</t>
  </si>
  <si>
    <t>Kimmo</t>
  </si>
  <si>
    <t>Marko</t>
  </si>
  <si>
    <t>Tadek</t>
  </si>
  <si>
    <t>Jari</t>
  </si>
  <si>
    <t>100 m</t>
  </si>
  <si>
    <t>Tulos</t>
  </si>
  <si>
    <t>Pisteet-35</t>
  </si>
  <si>
    <t>Pisteet-40</t>
  </si>
  <si>
    <t>Pisteet-45</t>
  </si>
  <si>
    <t>Pisteet-50</t>
  </si>
  <si>
    <t>Pisteet-55</t>
  </si>
  <si>
    <t>Kimmo Pisteet</t>
  </si>
  <si>
    <t>Jari Ha Pisteet</t>
  </si>
  <si>
    <r>
      <t>40:110/</t>
    </r>
    <r>
      <rPr>
        <b/>
        <sz val="12"/>
        <rFont val="Arial"/>
        <family val="2"/>
      </rPr>
      <t>99,2</t>
    </r>
  </si>
  <si>
    <r>
      <t xml:space="preserve">50: 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/91,4</t>
    </r>
  </si>
  <si>
    <t>Long Jump</t>
  </si>
  <si>
    <t>Shot Put</t>
  </si>
  <si>
    <t>High Jump</t>
  </si>
  <si>
    <t>Hurdles</t>
  </si>
  <si>
    <t>Discus</t>
  </si>
  <si>
    <t>Javelin</t>
  </si>
  <si>
    <t>Pole Vault</t>
  </si>
  <si>
    <t>Total</t>
  </si>
  <si>
    <t>Changes of the tools in veteran age classes</t>
  </si>
  <si>
    <t>Men</t>
  </si>
  <si>
    <t>Result</t>
  </si>
  <si>
    <t>Points</t>
  </si>
  <si>
    <t>Women</t>
  </si>
  <si>
    <t>Scoring formulas</t>
  </si>
  <si>
    <t>Formulas from the official hepathlon tables where available, others with suitable approximation from neighbouring events</t>
  </si>
  <si>
    <t>Age</t>
  </si>
  <si>
    <t>World record</t>
  </si>
  <si>
    <t>1000-p level</t>
  </si>
  <si>
    <t>900 p level</t>
  </si>
  <si>
    <t>1 p level</t>
  </si>
  <si>
    <t>LASSE 03 -result</t>
  </si>
  <si>
    <t>55 factor</t>
  </si>
  <si>
    <t>1 p level - 55</t>
  </si>
  <si>
    <t>500 p level for different age classes</t>
  </si>
  <si>
    <t>Converted result</t>
  </si>
  <si>
    <t>PB</t>
  </si>
  <si>
    <t>PB excl SP</t>
  </si>
  <si>
    <t>Kuula*</t>
  </si>
  <si>
    <t>Aidat*</t>
  </si>
  <si>
    <t>Kiekko*</t>
  </si>
  <si>
    <t>Keihäs*</t>
  </si>
  <si>
    <t>* Välinemuutosten vaikutukset arvioitu</t>
  </si>
  <si>
    <t>Kimmo Kivelä</t>
  </si>
  <si>
    <t>Jari Harjunpää</t>
  </si>
  <si>
    <t>centimeters</t>
  </si>
  <si>
    <t>meters</t>
  </si>
  <si>
    <t>Position</t>
  </si>
  <si>
    <t>Personal Best</t>
  </si>
  <si>
    <t>seconds</t>
  </si>
  <si>
    <t>Other examples</t>
  </si>
  <si>
    <t>500 p level</t>
  </si>
  <si>
    <t xml:space="preserve">Veteran scoring examples </t>
  </si>
  <si>
    <t>800 p level</t>
  </si>
  <si>
    <t>Arto -60</t>
  </si>
  <si>
    <t>Kille 55</t>
  </si>
  <si>
    <t>Ilkka-50</t>
  </si>
  <si>
    <t>Ansku</t>
  </si>
  <si>
    <t>Arun  35</t>
  </si>
  <si>
    <t>M60-1</t>
  </si>
  <si>
    <t>M60-2</t>
  </si>
  <si>
    <t>M55-1</t>
  </si>
  <si>
    <t>M55-2</t>
  </si>
  <si>
    <t>M45-1</t>
  </si>
  <si>
    <t>M40-1</t>
  </si>
  <si>
    <t>N1</t>
  </si>
  <si>
    <t>Make -35</t>
  </si>
  <si>
    <t>M35-1</t>
  </si>
  <si>
    <t>M35-2</t>
  </si>
  <si>
    <t>Peking 1</t>
  </si>
  <si>
    <t>Points Women</t>
  </si>
  <si>
    <t>Points M35</t>
  </si>
  <si>
    <t>Points M40</t>
  </si>
  <si>
    <t>Points M60</t>
  </si>
  <si>
    <t>Points Men</t>
  </si>
  <si>
    <t>Lasse</t>
  </si>
  <si>
    <t>Arun</t>
  </si>
  <si>
    <t>Ramon</t>
  </si>
  <si>
    <t>60:100/84</t>
  </si>
  <si>
    <t>Points M45</t>
  </si>
  <si>
    <t>Points M55</t>
  </si>
  <si>
    <t>Krakow 18.9.2009</t>
  </si>
  <si>
    <t>XXX Decathlon</t>
  </si>
  <si>
    <t xml:space="preserve">Artturi  </t>
  </si>
  <si>
    <t>M60-3</t>
  </si>
  <si>
    <t>M60-4</t>
  </si>
  <si>
    <t>M60-5</t>
  </si>
  <si>
    <t>Points M50</t>
  </si>
  <si>
    <t>Masa</t>
  </si>
  <si>
    <t>VesKa</t>
  </si>
  <si>
    <t>VesKu</t>
  </si>
  <si>
    <t xml:space="preserve">The veteran age factors </t>
  </si>
  <si>
    <t>without age factors</t>
  </si>
  <si>
    <t>M55-4</t>
  </si>
  <si>
    <t>M55-3</t>
  </si>
  <si>
    <t>Bryan Clay</t>
  </si>
  <si>
    <t xml:space="preserve">Tadek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</si>
</sst>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"/>
    <numFmt numFmtId="178" formatCode="0.000"/>
  </numFmts>
  <fonts count="3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9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right"/>
    </xf>
    <xf numFmtId="171" fontId="0" fillId="0" borderId="0" xfId="43" applyAlignment="1">
      <alignment/>
    </xf>
    <xf numFmtId="169" fontId="0" fillId="0" borderId="0" xfId="57" applyAlignment="1">
      <alignment/>
    </xf>
    <xf numFmtId="169" fontId="1" fillId="0" borderId="0" xfId="57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24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 horizontal="left"/>
    </xf>
    <xf numFmtId="171" fontId="0" fillId="0" borderId="11" xfId="43" applyBorder="1" applyAlignment="1">
      <alignment/>
    </xf>
    <xf numFmtId="169" fontId="1" fillId="0" borderId="11" xfId="57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15" xfId="0" applyFont="1" applyBorder="1" applyAlignment="1">
      <alignment horizontal="left"/>
    </xf>
    <xf numFmtId="171" fontId="0" fillId="0" borderId="15" xfId="43" applyBorder="1" applyAlignment="1">
      <alignment horizontal="right"/>
    </xf>
    <xf numFmtId="169" fontId="1" fillId="0" borderId="15" xfId="57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169" fontId="1" fillId="0" borderId="18" xfId="57" applyFont="1" applyBorder="1" applyAlignment="1">
      <alignment/>
    </xf>
    <xf numFmtId="0" fontId="2" fillId="0" borderId="19" xfId="0" applyFont="1" applyBorder="1" applyAlignment="1">
      <alignment horizontal="left"/>
    </xf>
    <xf numFmtId="2" fontId="5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71" fontId="0" fillId="0" borderId="16" xfId="43" applyBorder="1" applyAlignment="1">
      <alignment horizontal="right"/>
    </xf>
    <xf numFmtId="171" fontId="0" fillId="0" borderId="19" xfId="43" applyBorder="1" applyAlignment="1">
      <alignment horizontal="right"/>
    </xf>
    <xf numFmtId="169" fontId="0" fillId="0" borderId="19" xfId="43" applyNumberFormat="1" applyBorder="1" applyAlignment="1">
      <alignment horizontal="right"/>
    </xf>
    <xf numFmtId="0" fontId="8" fillId="0" borderId="10" xfId="0" applyFont="1" applyBorder="1" applyAlignment="1">
      <alignment/>
    </xf>
    <xf numFmtId="172" fontId="0" fillId="0" borderId="19" xfId="43" applyNumberFormat="1" applyBorder="1" applyAlignment="1">
      <alignment horizontal="center"/>
    </xf>
    <xf numFmtId="171" fontId="0" fillId="0" borderId="19" xfId="43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2" fontId="4" fillId="24" borderId="18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43" applyFont="1" applyAlignment="1">
      <alignment/>
    </xf>
    <xf numFmtId="0" fontId="3" fillId="0" borderId="20" xfId="0" applyFont="1" applyBorder="1" applyAlignment="1">
      <alignment/>
    </xf>
    <xf numFmtId="169" fontId="1" fillId="0" borderId="21" xfId="57" applyFont="1" applyBorder="1" applyAlignment="1">
      <alignment horizontal="center"/>
    </xf>
    <xf numFmtId="169" fontId="1" fillId="0" borderId="22" xfId="57" applyFont="1" applyBorder="1" applyAlignment="1">
      <alignment/>
    </xf>
    <xf numFmtId="0" fontId="0" fillId="0" borderId="20" xfId="0" applyBorder="1" applyAlignment="1">
      <alignment/>
    </xf>
    <xf numFmtId="169" fontId="2" fillId="0" borderId="20" xfId="0" applyNumberFormat="1" applyFont="1" applyBorder="1" applyAlignment="1">
      <alignment/>
    </xf>
    <xf numFmtId="0" fontId="3" fillId="0" borderId="23" xfId="0" applyFont="1" applyBorder="1" applyAlignment="1">
      <alignment/>
    </xf>
    <xf numFmtId="169" fontId="1" fillId="0" borderId="24" xfId="57" applyFont="1" applyBorder="1" applyAlignment="1">
      <alignment horizontal="center"/>
    </xf>
    <xf numFmtId="169" fontId="1" fillId="0" borderId="23" xfId="57" applyFont="1" applyBorder="1" applyAlignment="1">
      <alignment/>
    </xf>
    <xf numFmtId="169" fontId="1" fillId="0" borderId="25" xfId="57" applyFont="1" applyBorder="1" applyAlignment="1">
      <alignment/>
    </xf>
    <xf numFmtId="0" fontId="0" fillId="0" borderId="23" xfId="0" applyBorder="1" applyAlignment="1">
      <alignment/>
    </xf>
    <xf numFmtId="169" fontId="2" fillId="0" borderId="23" xfId="0" applyNumberFormat="1" applyFont="1" applyBorder="1" applyAlignment="1">
      <alignment/>
    </xf>
    <xf numFmtId="171" fontId="1" fillId="0" borderId="15" xfId="43" applyFont="1" applyBorder="1" applyAlignment="1">
      <alignment horizontal="right"/>
    </xf>
    <xf numFmtId="171" fontId="1" fillId="0" borderId="0" xfId="43" applyFont="1" applyAlignment="1">
      <alignment/>
    </xf>
    <xf numFmtId="171" fontId="1" fillId="0" borderId="11" xfId="43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3" fillId="0" borderId="16" xfId="43" applyFont="1" applyBorder="1" applyAlignment="1">
      <alignment horizontal="right"/>
    </xf>
    <xf numFmtId="169" fontId="13" fillId="0" borderId="19" xfId="43" applyNumberFormat="1" applyFont="1" applyBorder="1" applyAlignment="1">
      <alignment horizontal="right"/>
    </xf>
    <xf numFmtId="171" fontId="13" fillId="0" borderId="19" xfId="43" applyFont="1" applyBorder="1" applyAlignment="1">
      <alignment horizontal="right"/>
    </xf>
    <xf numFmtId="171" fontId="13" fillId="0" borderId="19" xfId="43" applyFont="1" applyBorder="1" applyAlignment="1">
      <alignment horizontal="center"/>
    </xf>
    <xf numFmtId="172" fontId="13" fillId="0" borderId="19" xfId="43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3" fillId="0" borderId="20" xfId="0" applyFont="1" applyBorder="1" applyAlignment="1">
      <alignment horizontal="right"/>
    </xf>
    <xf numFmtId="169" fontId="1" fillId="0" borderId="21" xfId="57" applyFont="1" applyBorder="1" applyAlignment="1">
      <alignment horizontal="right"/>
    </xf>
    <xf numFmtId="169" fontId="1" fillId="0" borderId="22" xfId="57" applyFont="1" applyBorder="1" applyAlignment="1">
      <alignment horizontal="right"/>
    </xf>
    <xf numFmtId="169" fontId="1" fillId="0" borderId="26" xfId="57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9" fontId="1" fillId="0" borderId="0" xfId="57" applyFont="1" applyBorder="1" applyAlignment="1">
      <alignment horizontal="center"/>
    </xf>
    <xf numFmtId="169" fontId="1" fillId="0" borderId="0" xfId="57" applyFont="1" applyBorder="1" applyAlignment="1">
      <alignment/>
    </xf>
    <xf numFmtId="16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0" fillId="0" borderId="28" xfId="0" applyFont="1" applyBorder="1" applyAlignment="1">
      <alignment/>
    </xf>
    <xf numFmtId="169" fontId="3" fillId="0" borderId="29" xfId="57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9" fontId="3" fillId="0" borderId="10" xfId="57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3" fillId="0" borderId="30" xfId="57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0" xfId="0" applyFont="1" applyAlignment="1">
      <alignment/>
    </xf>
    <xf numFmtId="169" fontId="1" fillId="0" borderId="0" xfId="57" applyFont="1" applyAlignment="1">
      <alignment horizontal="left"/>
    </xf>
    <xf numFmtId="169" fontId="1" fillId="0" borderId="0" xfId="57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5" fillId="0" borderId="28" xfId="0" applyFont="1" applyBorder="1" applyAlignment="1">
      <alignment/>
    </xf>
    <xf numFmtId="169" fontId="5" fillId="0" borderId="30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0" fontId="7" fillId="0" borderId="28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169" fontId="7" fillId="0" borderId="20" xfId="0" applyNumberFormat="1" applyFont="1" applyBorder="1" applyAlignment="1">
      <alignment/>
    </xf>
    <xf numFmtId="169" fontId="7" fillId="0" borderId="23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0" borderId="27" xfId="43" applyFont="1" applyBorder="1" applyAlignment="1">
      <alignment horizontal="center"/>
    </xf>
    <xf numFmtId="169" fontId="5" fillId="0" borderId="0" xfId="57" applyFont="1" applyBorder="1" applyAlignment="1">
      <alignment horizontal="center"/>
    </xf>
    <xf numFmtId="171" fontId="5" fillId="0" borderId="0" xfId="43" applyFont="1" applyBorder="1" applyAlignment="1">
      <alignment horizontal="center"/>
    </xf>
    <xf numFmtId="171" fontId="5" fillId="0" borderId="28" xfId="43" applyFont="1" applyBorder="1" applyAlignment="1">
      <alignment horizontal="center"/>
    </xf>
    <xf numFmtId="17" fontId="1" fillId="0" borderId="0" xfId="0" applyNumberFormat="1" applyFont="1" applyBorder="1" applyAlignment="1">
      <alignment/>
    </xf>
    <xf numFmtId="2" fontId="5" fillId="0" borderId="27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" fontId="5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17" fontId="1" fillId="0" borderId="27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0" fontId="14" fillId="0" borderId="0" xfId="0" applyFont="1" applyAlignment="1">
      <alignment/>
    </xf>
    <xf numFmtId="171" fontId="3" fillId="0" borderId="15" xfId="43" applyFont="1" applyBorder="1" applyAlignment="1">
      <alignment horizontal="center"/>
    </xf>
    <xf numFmtId="169" fontId="3" fillId="0" borderId="0" xfId="57" applyFont="1" applyAlignment="1">
      <alignment horizontal="center"/>
    </xf>
    <xf numFmtId="171" fontId="3" fillId="0" borderId="0" xfId="43" applyFont="1" applyAlignment="1">
      <alignment horizontal="center"/>
    </xf>
    <xf numFmtId="171" fontId="3" fillId="0" borderId="11" xfId="43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22" borderId="10" xfId="0" applyFont="1" applyFill="1" applyBorder="1" applyAlignment="1">
      <alignment/>
    </xf>
    <xf numFmtId="169" fontId="3" fillId="22" borderId="29" xfId="57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169" fontId="3" fillId="22" borderId="10" xfId="57" applyFont="1" applyFill="1" applyBorder="1" applyAlignment="1">
      <alignment horizontal="center"/>
    </xf>
    <xf numFmtId="0" fontId="3" fillId="22" borderId="30" xfId="0" applyFont="1" applyFill="1" applyBorder="1" applyAlignment="1">
      <alignment horizontal="center"/>
    </xf>
    <xf numFmtId="169" fontId="7" fillId="22" borderId="30" xfId="0" applyNumberFormat="1" applyFont="1" applyFill="1" applyBorder="1" applyAlignment="1">
      <alignment/>
    </xf>
    <xf numFmtId="0" fontId="3" fillId="22" borderId="17" xfId="0" applyFont="1" applyFill="1" applyBorder="1" applyAlignment="1">
      <alignment/>
    </xf>
    <xf numFmtId="169" fontId="5" fillId="22" borderId="29" xfId="57" applyFont="1" applyFill="1" applyBorder="1" applyAlignment="1">
      <alignment horizontal="center"/>
    </xf>
    <xf numFmtId="0" fontId="3" fillId="22" borderId="0" xfId="0" applyFont="1" applyFill="1" applyBorder="1" applyAlignment="1">
      <alignment/>
    </xf>
    <xf numFmtId="169" fontId="5" fillId="22" borderId="10" xfId="57" applyFont="1" applyFill="1" applyBorder="1" applyAlignment="1">
      <alignment horizontal="center"/>
    </xf>
    <xf numFmtId="169" fontId="3" fillId="22" borderId="30" xfId="57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169" fontId="7" fillId="22" borderId="30" xfId="0" applyNumberFormat="1" applyFont="1" applyFill="1" applyBorder="1" applyAlignment="1">
      <alignment/>
    </xf>
    <xf numFmtId="169" fontId="3" fillId="22" borderId="17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169" fontId="3" fillId="22" borderId="17" xfId="57" applyFont="1" applyFill="1" applyBorder="1" applyAlignment="1">
      <alignment horizontal="center"/>
    </xf>
    <xf numFmtId="0" fontId="3" fillId="22" borderId="29" xfId="0" applyFont="1" applyFill="1" applyBorder="1" applyAlignment="1">
      <alignment/>
    </xf>
    <xf numFmtId="169" fontId="7" fillId="22" borderId="17" xfId="0" applyNumberFormat="1" applyFont="1" applyFill="1" applyBorder="1" applyAlignment="1">
      <alignment/>
    </xf>
    <xf numFmtId="0" fontId="0" fillId="22" borderId="29" xfId="0" applyFont="1" applyFill="1" applyBorder="1" applyAlignment="1">
      <alignment/>
    </xf>
    <xf numFmtId="169" fontId="3" fillId="22" borderId="10" xfId="57" applyFont="1" applyFill="1" applyBorder="1" applyAlignment="1">
      <alignment horizontal="left"/>
    </xf>
    <xf numFmtId="169" fontId="0" fillId="22" borderId="29" xfId="57" applyFont="1" applyFill="1" applyBorder="1" applyAlignment="1">
      <alignment horizontal="center"/>
    </xf>
    <xf numFmtId="169" fontId="0" fillId="22" borderId="10" xfId="57" applyFont="1" applyFill="1" applyBorder="1" applyAlignment="1">
      <alignment horizontal="center"/>
    </xf>
    <xf numFmtId="169" fontId="5" fillId="22" borderId="17" xfId="57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5" fillId="0" borderId="27" xfId="57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57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9" fontId="3" fillId="0" borderId="0" xfId="57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9" fontId="7" fillId="0" borderId="28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5" fillId="0" borderId="0" xfId="43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69" fontId="7" fillId="22" borderId="1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9" fontId="7" fillId="0" borderId="20" xfId="0" applyNumberFormat="1" applyFont="1" applyBorder="1" applyAlignment="1">
      <alignment horizontal="center"/>
    </xf>
    <xf numFmtId="169" fontId="7" fillId="0" borderId="23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9" fontId="3" fillId="22" borderId="1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7" xfId="0" applyFont="1" applyBorder="1" applyAlignment="1">
      <alignment horizontal="center"/>
    </xf>
    <xf numFmtId="169" fontId="1" fillId="0" borderId="16" xfId="57" applyFont="1" applyBorder="1" applyAlignment="1">
      <alignment horizontal="center"/>
    </xf>
    <xf numFmtId="169" fontId="1" fillId="0" borderId="10" xfId="57" applyFont="1" applyBorder="1" applyAlignment="1">
      <alignment/>
    </xf>
    <xf numFmtId="169" fontId="1" fillId="0" borderId="17" xfId="57" applyFont="1" applyBorder="1" applyAlignment="1">
      <alignment/>
    </xf>
    <xf numFmtId="169" fontId="7" fillId="0" borderId="10" xfId="0" applyNumberFormat="1" applyFont="1" applyBorder="1" applyAlignment="1">
      <alignment/>
    </xf>
    <xf numFmtId="169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15" xfId="57" applyNumberFormat="1" applyFont="1" applyBorder="1" applyAlignment="1">
      <alignment horizontal="center"/>
    </xf>
    <xf numFmtId="2" fontId="1" fillId="0" borderId="0" xfId="57" applyNumberFormat="1" applyFont="1" applyBorder="1" applyAlignment="1">
      <alignment horizontal="center"/>
    </xf>
    <xf numFmtId="2" fontId="1" fillId="0" borderId="11" xfId="57" applyNumberFormat="1" applyFont="1" applyBorder="1" applyAlignment="1">
      <alignment horizontal="center"/>
    </xf>
    <xf numFmtId="173" fontId="5" fillId="0" borderId="27" xfId="57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9" fontId="7" fillId="0" borderId="28" xfId="0" applyNumberFormat="1" applyFont="1" applyBorder="1" applyAlignment="1">
      <alignment/>
    </xf>
    <xf numFmtId="0" fontId="14" fillId="0" borderId="0" xfId="0" applyFont="1" applyAlignment="1">
      <alignment horizontal="right"/>
    </xf>
    <xf numFmtId="169" fontId="1" fillId="0" borderId="0" xfId="0" applyNumberFormat="1" applyFont="1" applyAlignment="1">
      <alignment/>
    </xf>
    <xf numFmtId="177" fontId="1" fillId="0" borderId="18" xfId="0" applyNumberFormat="1" applyFont="1" applyBorder="1" applyAlignment="1">
      <alignment horizontal="center"/>
    </xf>
    <xf numFmtId="177" fontId="1" fillId="24" borderId="18" xfId="0" applyNumberFormat="1" applyFont="1" applyFill="1" applyBorder="1" applyAlignment="1">
      <alignment horizontal="center"/>
    </xf>
    <xf numFmtId="169" fontId="3" fillId="22" borderId="10" xfId="0" applyNumberFormat="1" applyFont="1" applyFill="1" applyBorder="1" applyAlignment="1">
      <alignment/>
    </xf>
    <xf numFmtId="171" fontId="5" fillId="0" borderId="31" xfId="43" applyFont="1" applyBorder="1" applyAlignment="1">
      <alignment horizontal="center"/>
    </xf>
    <xf numFmtId="169" fontId="5" fillId="0" borderId="0" xfId="57" applyFont="1" applyFill="1" applyBorder="1" applyAlignment="1">
      <alignment horizontal="center"/>
    </xf>
    <xf numFmtId="2" fontId="5" fillId="0" borderId="0" xfId="57" applyNumberFormat="1" applyFont="1" applyFill="1" applyBorder="1" applyAlignment="1">
      <alignment horizontal="center"/>
    </xf>
    <xf numFmtId="169" fontId="5" fillId="0" borderId="28" xfId="57" applyFont="1" applyFill="1" applyBorder="1" applyAlignment="1">
      <alignment horizontal="center"/>
    </xf>
    <xf numFmtId="169" fontId="2" fillId="22" borderId="10" xfId="0" applyNumberFormat="1" applyFont="1" applyFill="1" applyBorder="1" applyAlignment="1">
      <alignment/>
    </xf>
    <xf numFmtId="46" fontId="7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9" fontId="3" fillId="22" borderId="10" xfId="0" applyNumberFormat="1" applyFont="1" applyFill="1" applyBorder="1" applyAlignment="1">
      <alignment horizontal="left"/>
    </xf>
    <xf numFmtId="173" fontId="0" fillId="0" borderId="0" xfId="57" applyNumberFormat="1" applyAlignment="1">
      <alignment horizontal="center"/>
    </xf>
    <xf numFmtId="178" fontId="0" fillId="0" borderId="15" xfId="43" applyNumberFormat="1" applyBorder="1" applyAlignment="1">
      <alignment horizontal="center"/>
    </xf>
    <xf numFmtId="0" fontId="4" fillId="22" borderId="10" xfId="0" applyFont="1" applyFill="1" applyBorder="1" applyAlignment="1">
      <alignment/>
    </xf>
    <xf numFmtId="17" fontId="4" fillId="0" borderId="0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169" fontId="4" fillId="22" borderId="10" xfId="0" applyNumberFormat="1" applyFont="1" applyFill="1" applyBorder="1" applyAlignment="1">
      <alignment/>
    </xf>
    <xf numFmtId="169" fontId="4" fillId="22" borderId="29" xfId="57" applyFont="1" applyFill="1" applyBorder="1" applyAlignment="1">
      <alignment horizontal="center"/>
    </xf>
    <xf numFmtId="169" fontId="4" fillId="22" borderId="10" xfId="57" applyFont="1" applyFill="1" applyBorder="1" applyAlignment="1">
      <alignment horizontal="center"/>
    </xf>
    <xf numFmtId="169" fontId="4" fillId="22" borderId="30" xfId="57" applyFont="1" applyFill="1" applyBorder="1" applyAlignment="1">
      <alignment horizontal="center"/>
    </xf>
    <xf numFmtId="169" fontId="4" fillId="22" borderId="30" xfId="0" applyNumberFormat="1" applyFont="1" applyFill="1" applyBorder="1" applyAlignment="1">
      <alignment/>
    </xf>
    <xf numFmtId="171" fontId="10" fillId="0" borderId="27" xfId="43" applyFont="1" applyBorder="1" applyAlignment="1">
      <alignment horizontal="center"/>
    </xf>
    <xf numFmtId="169" fontId="10" fillId="0" borderId="0" xfId="57" applyFont="1" applyBorder="1" applyAlignment="1">
      <alignment horizontal="center"/>
    </xf>
    <xf numFmtId="171" fontId="10" fillId="0" borderId="0" xfId="43" applyFont="1" applyBorder="1" applyAlignment="1">
      <alignment horizontal="center"/>
    </xf>
    <xf numFmtId="171" fontId="10" fillId="0" borderId="28" xfId="43" applyFont="1" applyBorder="1" applyAlignment="1">
      <alignment horizontal="center"/>
    </xf>
    <xf numFmtId="171" fontId="5" fillId="0" borderId="0" xfId="43" applyFont="1" applyBorder="1" applyAlignment="1">
      <alignment horizontal="left"/>
    </xf>
    <xf numFmtId="169" fontId="3" fillId="22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Comm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Comma [0]" xfId="57"/>
    <cellStyle name="Currency [0]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="70" zoomScaleNormal="70" zoomScalePageLayoutView="0" workbookViewId="0" topLeftCell="A1">
      <pane ySplit="1470" topLeftCell="BM11" activePane="bottomLeft" state="split"/>
      <selection pane="topLeft" activeCell="A2" sqref="A2"/>
      <selection pane="bottomLeft" activeCell="P38" sqref="P38"/>
    </sheetView>
  </sheetViews>
  <sheetFormatPr defaultColWidth="9.140625" defaultRowHeight="12.75"/>
  <cols>
    <col min="1" max="1" width="25.00390625" style="0" customWidth="1"/>
    <col min="2" max="2" width="15.28125" style="1" customWidth="1"/>
    <col min="3" max="3" width="14.7109375" style="0" customWidth="1"/>
    <col min="4" max="4" width="15.28125" style="0" customWidth="1"/>
    <col min="5" max="5" width="14.8515625" style="0" customWidth="1"/>
    <col min="6" max="6" width="14.7109375" style="0" customWidth="1"/>
    <col min="7" max="7" width="12.57421875" style="0" customWidth="1"/>
    <col min="8" max="8" width="13.421875" style="0" customWidth="1"/>
    <col min="9" max="9" width="14.421875" style="0" customWidth="1"/>
    <col min="10" max="10" width="14.00390625" style="0" customWidth="1"/>
    <col min="11" max="11" width="15.421875" style="0" customWidth="1"/>
    <col min="12" max="12" width="0.85546875" style="0" customWidth="1"/>
    <col min="13" max="13" width="17.00390625" style="7" customWidth="1"/>
    <col min="14" max="14" width="13.57421875" style="92" customWidth="1"/>
    <col min="15" max="15" width="21.28125" style="207" customWidth="1"/>
    <col min="16" max="16" width="12.57421875" style="0" bestFit="1" customWidth="1"/>
  </cols>
  <sheetData>
    <row r="1" spans="1:6" ht="43.5" customHeight="1">
      <c r="A1" s="149" t="s">
        <v>132</v>
      </c>
      <c r="D1" s="149"/>
      <c r="F1" s="226" t="s">
        <v>131</v>
      </c>
    </row>
    <row r="2" spans="2:16" s="7" customFormat="1" ht="34.5" customHeight="1">
      <c r="B2" s="142" t="s">
        <v>50</v>
      </c>
      <c r="C2" s="143" t="s">
        <v>61</v>
      </c>
      <c r="D2" s="143" t="s">
        <v>62</v>
      </c>
      <c r="E2" s="143" t="s">
        <v>63</v>
      </c>
      <c r="F2" s="143" t="s">
        <v>6</v>
      </c>
      <c r="G2" s="143" t="s">
        <v>64</v>
      </c>
      <c r="H2" s="143" t="s">
        <v>65</v>
      </c>
      <c r="I2" s="143" t="s">
        <v>67</v>
      </c>
      <c r="J2" s="143" t="s">
        <v>66</v>
      </c>
      <c r="K2" s="144" t="s">
        <v>4</v>
      </c>
      <c r="L2" s="93"/>
      <c r="M2" s="118" t="s">
        <v>68</v>
      </c>
      <c r="N2" s="145" t="s">
        <v>97</v>
      </c>
      <c r="O2" s="145" t="s">
        <v>98</v>
      </c>
      <c r="P2" s="146"/>
    </row>
    <row r="3" spans="2:16" ht="13.5" customHeight="1">
      <c r="B3" s="213" t="s">
        <v>99</v>
      </c>
      <c r="C3" s="93" t="s">
        <v>95</v>
      </c>
      <c r="D3" s="93" t="s">
        <v>96</v>
      </c>
      <c r="E3" s="93" t="s">
        <v>95</v>
      </c>
      <c r="F3" s="93" t="s">
        <v>99</v>
      </c>
      <c r="G3" s="93" t="s">
        <v>99</v>
      </c>
      <c r="H3" s="93" t="s">
        <v>96</v>
      </c>
      <c r="I3" s="93" t="s">
        <v>95</v>
      </c>
      <c r="J3" s="93" t="s">
        <v>96</v>
      </c>
      <c r="K3" s="206" t="s">
        <v>99</v>
      </c>
      <c r="L3" s="23"/>
      <c r="M3" s="119"/>
      <c r="N3" s="93"/>
      <c r="P3" s="24"/>
    </row>
    <row r="4" spans="2:16" ht="13.5" customHeight="1">
      <c r="B4" s="140"/>
      <c r="C4" s="23"/>
      <c r="D4" s="23"/>
      <c r="E4" s="23"/>
      <c r="F4" s="154"/>
      <c r="G4" s="154"/>
      <c r="H4" s="23"/>
      <c r="I4" s="23"/>
      <c r="J4" s="23"/>
      <c r="K4" s="119"/>
      <c r="L4" s="23"/>
      <c r="M4" s="119"/>
      <c r="N4" s="93"/>
      <c r="P4" s="24"/>
    </row>
    <row r="5" spans="1:16" s="6" customFormat="1" ht="21.75" customHeight="1">
      <c r="A5" s="114" t="s">
        <v>107</v>
      </c>
      <c r="B5" s="136"/>
      <c r="C5" s="130"/>
      <c r="D5" s="130"/>
      <c r="E5" s="130"/>
      <c r="F5" s="102"/>
      <c r="G5" s="224"/>
      <c r="H5" s="224"/>
      <c r="I5" s="102"/>
      <c r="J5" s="102"/>
      <c r="K5" s="103"/>
      <c r="L5" s="100"/>
      <c r="M5" s="129"/>
      <c r="N5" s="143"/>
      <c r="O5" s="208"/>
      <c r="P5" s="147"/>
    </row>
    <row r="6" spans="1:16" s="155" customFormat="1" ht="18">
      <c r="A6" s="230" t="s">
        <v>120</v>
      </c>
      <c r="B6" s="162" t="str">
        <f>IF(B5=0," ",IF(B5&lt;21.25,TRUNC(4.99087*(42.5-B5*2)^1.81)," "))</f>
        <v> </v>
      </c>
      <c r="C6" s="157" t="str">
        <f>IF(C5&gt;210,TRUNC(0.188807*(C5-210)^1.41)," ")</f>
        <v> </v>
      </c>
      <c r="D6" s="157" t="str">
        <f>IF(D5&gt;1.5,TRUNC(56.0211*(D5-1.5)^1.05)," ")</f>
        <v> </v>
      </c>
      <c r="E6" s="157" t="str">
        <f>IF(E5&gt;75,TRUNC(1.84523*(E5-75)^1.348)," ")</f>
        <v> </v>
      </c>
      <c r="F6" s="157" t="str">
        <f>IF(F5=0," ",IF(F5&lt;105,TRUNC(0.11193*(254-F5*2.4)^1.88)," "))</f>
        <v> </v>
      </c>
      <c r="G6" s="157" t="str">
        <f>IF(G5=0," ",IF(G5&lt;26.7,TRUNC(9.23076*(26.7-G5)^1.835)," "))</f>
        <v> </v>
      </c>
      <c r="H6" s="158" t="str">
        <f>IF(H5&gt;3.7,TRUNC(12.91*(H5*H$77-4)^1.1)," ")</f>
        <v> </v>
      </c>
      <c r="I6" s="158" t="str">
        <f>IF(I5&gt;75,TRUNC(0.2797*(I5*I$77-100)^1.35)," ")</f>
        <v> </v>
      </c>
      <c r="J6" s="157" t="str">
        <f>IF(J5&gt;3.8,TRUNC(15.9803*(J5-3.8)^1.04)," ")</f>
        <v> </v>
      </c>
      <c r="K6" s="159" t="str">
        <f>IF(K5=0," ",IF(K5&lt;502,TRUNC(0.11193*(254-K5*0.5)^1.88)," "))</f>
        <v> </v>
      </c>
      <c r="M6" s="160">
        <f>SUM(B6:K6)</f>
        <v>0</v>
      </c>
      <c r="N6" s="195" t="s">
        <v>115</v>
      </c>
      <c r="O6" s="209">
        <f>MAX(B6:K6)</f>
        <v>0</v>
      </c>
      <c r="P6" s="161"/>
    </row>
    <row r="7" spans="1:16" s="183" customFormat="1" ht="18">
      <c r="A7" s="178"/>
      <c r="B7" s="179"/>
      <c r="C7" s="194"/>
      <c r="D7" s="180"/>
      <c r="E7" s="194"/>
      <c r="F7" s="180"/>
      <c r="G7" s="180"/>
      <c r="H7" s="181"/>
      <c r="I7" s="181"/>
      <c r="J7" s="180"/>
      <c r="K7" s="182"/>
      <c r="M7" s="184"/>
      <c r="N7" s="196"/>
      <c r="O7" s="180"/>
      <c r="P7" s="185"/>
    </row>
    <row r="8" spans="1:21" s="163" customFormat="1" ht="18">
      <c r="A8" s="230"/>
      <c r="B8" s="156"/>
      <c r="C8" s="157"/>
      <c r="D8" s="157"/>
      <c r="E8" s="157"/>
      <c r="F8" s="157"/>
      <c r="G8" s="157"/>
      <c r="H8" s="158"/>
      <c r="I8" s="158"/>
      <c r="J8" s="157"/>
      <c r="K8" s="159"/>
      <c r="L8" s="155"/>
      <c r="M8" s="160"/>
      <c r="N8" s="195"/>
      <c r="O8" s="209"/>
      <c r="P8" s="161"/>
      <c r="Q8" s="155"/>
      <c r="R8" s="155"/>
      <c r="S8" s="155"/>
      <c r="T8" s="155"/>
      <c r="U8" s="155"/>
    </row>
    <row r="9" spans="1:16" s="186" customFormat="1" ht="18">
      <c r="A9" s="192"/>
      <c r="B9" s="223"/>
      <c r="C9" s="187"/>
      <c r="D9" s="187"/>
      <c r="E9" s="187"/>
      <c r="F9" s="187"/>
      <c r="G9" s="187"/>
      <c r="H9" s="181"/>
      <c r="I9" s="188"/>
      <c r="J9" s="187"/>
      <c r="K9" s="189"/>
      <c r="M9" s="190"/>
      <c r="N9" s="197"/>
      <c r="O9" s="210"/>
      <c r="P9" s="191"/>
    </row>
    <row r="10" spans="1:21" s="163" customFormat="1" ht="18">
      <c r="A10" s="230"/>
      <c r="B10" s="156"/>
      <c r="C10" s="157"/>
      <c r="D10" s="157"/>
      <c r="E10" s="157"/>
      <c r="F10" s="157"/>
      <c r="G10" s="157"/>
      <c r="H10" s="158"/>
      <c r="I10" s="158"/>
      <c r="J10" s="157"/>
      <c r="K10" s="159"/>
      <c r="L10" s="155"/>
      <c r="M10" s="160"/>
      <c r="N10" s="195"/>
      <c r="O10" s="209"/>
      <c r="P10" s="161"/>
      <c r="Q10" s="155"/>
      <c r="R10" s="155"/>
      <c r="S10" s="155"/>
      <c r="T10" s="155"/>
      <c r="U10" s="155"/>
    </row>
    <row r="11" spans="1:16" s="7" customFormat="1" ht="35.25" customHeight="1">
      <c r="A11" s="244" t="s">
        <v>145</v>
      </c>
      <c r="B11" s="250">
        <v>10.44</v>
      </c>
      <c r="C11" s="251">
        <v>778</v>
      </c>
      <c r="D11" s="252">
        <v>16.27</v>
      </c>
      <c r="E11" s="251">
        <v>199</v>
      </c>
      <c r="F11" s="252">
        <v>48.92</v>
      </c>
      <c r="G11" s="252">
        <v>13.93</v>
      </c>
      <c r="H11" s="252">
        <v>53.79</v>
      </c>
      <c r="I11" s="251">
        <v>500</v>
      </c>
      <c r="J11" s="252">
        <v>70.97</v>
      </c>
      <c r="K11" s="253">
        <v>306.59</v>
      </c>
      <c r="L11" s="242"/>
      <c r="M11" s="243"/>
      <c r="N11" s="198"/>
      <c r="O11" s="92"/>
      <c r="P11" s="146"/>
    </row>
    <row r="12" spans="1:16" s="169" customFormat="1" ht="25.5" customHeight="1">
      <c r="A12" s="245" t="s">
        <v>124</v>
      </c>
      <c r="B12" s="246">
        <f>IF(B11=0," ",IF(B11&lt;18,TRUNC(25.4347*(18-B11)^1.81)," "))</f>
        <v>989</v>
      </c>
      <c r="C12" s="247">
        <f>IF(C11&gt;220,TRUNC(0.14354*(C11-220)^1.4)," ")</f>
        <v>1005</v>
      </c>
      <c r="D12" s="247">
        <f>IF(D11&gt;1.5,TRUNC(51.39*(D11-1.5)^1.05)," ")</f>
        <v>868</v>
      </c>
      <c r="E12" s="247">
        <f>IF(E11&gt;75,TRUNC(0.84565*(E11-75)^1.42)," ")</f>
        <v>794</v>
      </c>
      <c r="F12" s="247">
        <f>IF(F11=0," ",IF(F11&lt;82,TRUNC(1.53775*(82-F11)^1.81)," "))</f>
        <v>865</v>
      </c>
      <c r="G12" s="247">
        <f>IF(G11=0," ",IF(G11&lt;28.5,TRUNC(5.74352*(28.5-G11)^1.92)," "))</f>
        <v>984</v>
      </c>
      <c r="H12" s="247">
        <f>IF(H11&gt;4,TRUNC(12.91*(H11-4)^1.1)," ")</f>
        <v>950</v>
      </c>
      <c r="I12" s="247">
        <f>IF(I11&gt;100,TRUNC(0.2797*(I11-100)^1.35)," ")</f>
        <v>910</v>
      </c>
      <c r="J12" s="247">
        <f>IF(J11&gt;7,TRUNC(10.14*(J11-7)^1.08)," ")</f>
        <v>904</v>
      </c>
      <c r="K12" s="248">
        <f>IF(K11=0," ",IF(K11&lt;480,TRUNC(0.03768*(480-K11)^1.85)," "))</f>
        <v>522</v>
      </c>
      <c r="L12" s="241"/>
      <c r="M12" s="249">
        <f>SUM(B12:K12)</f>
        <v>8791</v>
      </c>
      <c r="N12" s="195" t="s">
        <v>119</v>
      </c>
      <c r="O12" s="209">
        <f>MAX(B12:K12)</f>
        <v>1005</v>
      </c>
      <c r="P12" s="168">
        <f>MAX(B12:C12,E12:K12)</f>
        <v>1005</v>
      </c>
    </row>
    <row r="13" spans="1:16" s="7" customFormat="1" ht="40.5" customHeight="1">
      <c r="A13" s="114" t="s">
        <v>116</v>
      </c>
      <c r="B13" s="131">
        <v>15.11</v>
      </c>
      <c r="C13" s="132">
        <v>462</v>
      </c>
      <c r="D13" s="133">
        <v>10.33</v>
      </c>
      <c r="E13" s="132">
        <v>140</v>
      </c>
      <c r="F13" s="133">
        <v>76.4</v>
      </c>
      <c r="G13" s="133">
        <v>22.98</v>
      </c>
      <c r="H13" s="133">
        <v>29.62</v>
      </c>
      <c r="I13" s="132"/>
      <c r="J13" s="133">
        <v>25.2</v>
      </c>
      <c r="K13" s="134">
        <v>443</v>
      </c>
      <c r="L13" s="135"/>
      <c r="M13" s="104"/>
      <c r="N13" s="93"/>
      <c r="O13" s="92" t="s">
        <v>86</v>
      </c>
      <c r="P13" s="146" t="s">
        <v>87</v>
      </c>
    </row>
    <row r="14" spans="1:16" s="169" customFormat="1" ht="24.75" customHeight="1">
      <c r="A14" s="230" t="s">
        <v>121</v>
      </c>
      <c r="B14" s="156">
        <f>IF(B13=0," ",IF(B13&lt;20.7,TRUNC(25.4347*(18-B13*B$73)^1.81)," "))</f>
        <v>191</v>
      </c>
      <c r="C14" s="158">
        <f>IF(C13&gt;166,TRUNC(0.14354*(C13*C$73-220)^1.4)," ")</f>
        <v>355</v>
      </c>
      <c r="D14" s="158">
        <f>IF(D13&gt;1.5,TRUNC(51.39*(D13*D$73-1.5)^1.05)," ")</f>
        <v>505</v>
      </c>
      <c r="E14" s="158">
        <f>IF(E13&gt;58,TRUNC(0.84565*(E13*E$73-75)^1.42)," ")</f>
        <v>371</v>
      </c>
      <c r="F14" s="158">
        <f>IF(F13=0," ",IF(F13&lt;82/F$73,TRUNC(1.53775*(82-F13*F$73)^1.81)," "))</f>
        <v>64</v>
      </c>
      <c r="G14" s="158">
        <f>IF(G13=0," ",IF(G13&lt;28.5,TRUNC(5.74352*(28.5-G13*G$73)^1.92)," "))</f>
        <v>152</v>
      </c>
      <c r="H14" s="158">
        <f>IF(H13&gt;4,TRUNC(12.91*(H13*H$73-4)^1.1)," ")</f>
        <v>457</v>
      </c>
      <c r="I14" s="158" t="str">
        <f>IF(I13&gt;75,TRUNC(0.2797*(I13*I$73-100)^1.35)," ")</f>
        <v> </v>
      </c>
      <c r="J14" s="158">
        <f>IF(J13&gt;6,TRUNC(10.14*(J13*J$73-7)^1.08)," ")</f>
        <v>247</v>
      </c>
      <c r="K14" s="165">
        <f>IF(K13=0," ",IF(K13&lt;580,TRUNC(0.03768*(480-K13*K$73)^1.85)," "))</f>
        <v>39</v>
      </c>
      <c r="L14" s="166"/>
      <c r="M14" s="167">
        <f>SUM(B14:K14)</f>
        <v>2381</v>
      </c>
      <c r="N14" s="195" t="s">
        <v>117</v>
      </c>
      <c r="O14" s="209">
        <f>MAX(B14:K14)</f>
        <v>505</v>
      </c>
      <c r="P14" s="168">
        <f>MAX(B14:C14,E14:K14)</f>
        <v>457</v>
      </c>
    </row>
    <row r="15" spans="1:16" s="7" customFormat="1" ht="35.25" customHeight="1">
      <c r="A15" s="114" t="s">
        <v>127</v>
      </c>
      <c r="B15" s="131">
        <v>17.19</v>
      </c>
      <c r="C15" s="132">
        <v>250</v>
      </c>
      <c r="D15" s="133">
        <v>6.28</v>
      </c>
      <c r="E15" s="132">
        <v>125</v>
      </c>
      <c r="F15" s="133">
        <v>72</v>
      </c>
      <c r="G15" s="133"/>
      <c r="H15" s="133">
        <v>13.07</v>
      </c>
      <c r="I15" s="132"/>
      <c r="J15" s="133">
        <v>13.38</v>
      </c>
      <c r="K15" s="134">
        <v>351</v>
      </c>
      <c r="L15" s="135"/>
      <c r="M15" s="104"/>
      <c r="N15" s="198"/>
      <c r="O15" s="92"/>
      <c r="P15" s="146"/>
    </row>
    <row r="16" spans="1:16" s="169" customFormat="1" ht="25.5" customHeight="1">
      <c r="A16" s="230" t="s">
        <v>121</v>
      </c>
      <c r="B16" s="156">
        <f>IF(B15=0," ",IF(B15&lt;20.7,TRUNC(25.4347*(18-B15*B$73)^1.81)," "))</f>
        <v>25</v>
      </c>
      <c r="C16" s="158">
        <f>IF(C15&gt;166,TRUNC(0.14354*(C15*C$73-220)^1.4)," ")</f>
        <v>27</v>
      </c>
      <c r="D16" s="158">
        <f>IF(D15&gt;1.5,TRUNC(51.39*(D15*D$73-1.5)^1.05)," ")</f>
        <v>265</v>
      </c>
      <c r="E16" s="158">
        <f>IF(E15&gt;58,TRUNC(0.84565*(E15*E$73-75)^1.42)," ")</f>
        <v>262</v>
      </c>
      <c r="F16" s="158">
        <f>IF(F15=0," ",IF(F15&lt;82/F$73,TRUNC(1.53775*(82-F15*F$73)^1.81)," "))</f>
        <v>141</v>
      </c>
      <c r="G16" s="158" t="str">
        <f>IF(G15=0," ",IF(G15&lt;28.5,TRUNC(5.74352*(28.5-G15*G$73)^1.92)," "))</f>
        <v> </v>
      </c>
      <c r="H16" s="158">
        <f>IF(H15&gt;4,TRUNC(12.91*(H15*H$73-4)^1.1)," ")</f>
        <v>145</v>
      </c>
      <c r="I16" s="158" t="str">
        <f>IF(I15&gt;75,TRUNC(0.2797*(I15*I$73-100)^1.35)," ")</f>
        <v> </v>
      </c>
      <c r="J16" s="158">
        <f>IF(J15&gt;6,TRUNC(10.14*(J15*J$73-7)^1.08)," ")</f>
        <v>82</v>
      </c>
      <c r="K16" s="165">
        <f>IF(K15=0," ",IF(K15&lt;580,TRUNC(0.03768*(480-K15*K$73)^1.85)," "))</f>
        <v>322</v>
      </c>
      <c r="L16" s="166"/>
      <c r="M16" s="167">
        <f>SUM(B16:K16)</f>
        <v>1269</v>
      </c>
      <c r="N16" s="195" t="s">
        <v>118</v>
      </c>
      <c r="O16" s="209">
        <f>MAX(B16:K16)</f>
        <v>322</v>
      </c>
      <c r="P16" s="168">
        <f>MAX(B16:C16,E16:K16)</f>
        <v>322</v>
      </c>
    </row>
    <row r="17" spans="1:16" s="7" customFormat="1" ht="50.25" customHeight="1">
      <c r="A17" s="114" t="s">
        <v>45</v>
      </c>
      <c r="B17" s="131">
        <v>13.63</v>
      </c>
      <c r="C17" s="132">
        <v>502</v>
      </c>
      <c r="D17" s="133">
        <v>9.97</v>
      </c>
      <c r="E17" s="132">
        <v>160</v>
      </c>
      <c r="F17" s="133">
        <v>67.42</v>
      </c>
      <c r="G17" s="133">
        <v>19.55</v>
      </c>
      <c r="H17" s="133">
        <v>26.11</v>
      </c>
      <c r="I17" s="132">
        <v>220</v>
      </c>
      <c r="J17" s="133">
        <v>35.66</v>
      </c>
      <c r="K17" s="231">
        <v>376</v>
      </c>
      <c r="L17" s="135"/>
      <c r="M17" s="104"/>
      <c r="N17" s="198"/>
      <c r="O17" s="92"/>
      <c r="P17" s="146"/>
    </row>
    <row r="18" spans="1:16" s="169" customFormat="1" ht="25.5" customHeight="1">
      <c r="A18" s="230" t="s">
        <v>122</v>
      </c>
      <c r="B18" s="156">
        <f>IF(B17=0," ",IF(B17&lt;20.7,TRUNC(25.4347*(18-B17*B$74)^1.81)," "))</f>
        <v>466</v>
      </c>
      <c r="C18" s="158">
        <f>IF(C17&gt;166,TRUNC(0.14354*(C17*C$74-220)^1.4)," ")</f>
        <v>497</v>
      </c>
      <c r="D18" s="158">
        <f>IF(D17&gt;1.5,TRUNC(51.39*(D17*D$74-1.5)^1.05)," ")</f>
        <v>500</v>
      </c>
      <c r="E18" s="158">
        <f>IF(E17&gt;58,TRUNC(0.84565*(E17*E$74-75)^1.42)," ")</f>
        <v>601</v>
      </c>
      <c r="F18" s="158">
        <f>IF(F17=0," ",IF(F17&lt;96.35,TRUNC(1.53775*(82-F17*F$74)^1.81)," "))</f>
        <v>316</v>
      </c>
      <c r="G18" s="158">
        <f>IF(G17=0," ",IF(G17&lt;28.5,TRUNC(5.74352*(28.5-G17*G$74)^1.92)," "))</f>
        <v>460</v>
      </c>
      <c r="H18" s="158">
        <f>IF(H17&gt;4,TRUNC(12.91*(H17*H$74-4)^1.1)," ")</f>
        <v>389</v>
      </c>
      <c r="I18" s="158">
        <f>IF(I17&gt;75,TRUNC(0.2797*(I17*I$74-100)^1.35)," ")</f>
        <v>227</v>
      </c>
      <c r="J18" s="158">
        <f>IF(J17&gt;6,TRUNC(10.14*(J17*J$74-7)^1.08)," ")</f>
        <v>446</v>
      </c>
      <c r="K18" s="170">
        <f>IF(K17=0," ",IF(K17&lt;580,TRUNC(0.03768*(480-K17*K$74)^1.85)," "))</f>
        <v>294</v>
      </c>
      <c r="L18" s="166"/>
      <c r="M18" s="167">
        <f>SUM(B18:K18)</f>
        <v>4196</v>
      </c>
      <c r="N18" s="195" t="s">
        <v>114</v>
      </c>
      <c r="O18" s="209">
        <f>MAX(B18:K18)</f>
        <v>601</v>
      </c>
      <c r="P18" s="168">
        <f>MAX(B18:C18,E18:K18)</f>
        <v>601</v>
      </c>
    </row>
    <row r="19" spans="1:16" s="7" customFormat="1" ht="20.25" customHeight="1" hidden="1">
      <c r="A19" s="114" t="s">
        <v>93</v>
      </c>
      <c r="B19" s="131"/>
      <c r="C19" s="132"/>
      <c r="D19" s="133"/>
      <c r="E19" s="132"/>
      <c r="F19" s="133"/>
      <c r="G19" s="133"/>
      <c r="H19" s="133"/>
      <c r="I19" s="132"/>
      <c r="J19" s="133"/>
      <c r="K19" s="134"/>
      <c r="L19" s="135"/>
      <c r="M19" s="104"/>
      <c r="N19" s="198"/>
      <c r="O19" s="92"/>
      <c r="P19" s="146"/>
    </row>
    <row r="20" spans="1:16" s="169" customFormat="1" ht="18" hidden="1">
      <c r="A20" s="155" t="s">
        <v>57</v>
      </c>
      <c r="B20" s="156" t="str">
        <f>IF(B19=0," ",IF(B19&lt;18,TRUNC(25.4347*(18-B19)^1.81)," "))</f>
        <v> </v>
      </c>
      <c r="C20" s="158" t="str">
        <f>IF(C19&gt;220,TRUNC(0.14354*(C19-220)^1.4)," ")</f>
        <v> </v>
      </c>
      <c r="D20" s="158" t="str">
        <f>IF(D19&gt;1.5,TRUNC(51.39*(D19-1.5)^1.05)," ")</f>
        <v> </v>
      </c>
      <c r="E20" s="158" t="str">
        <f>IF(E19&gt;75,TRUNC(0.84565*(E19-75)^1.42)," ")</f>
        <v> </v>
      </c>
      <c r="F20" s="158" t="str">
        <f>IF(F19=0," ",IF(F19&lt;82,TRUNC(1.53775*(82-F19)^1.81)," "))</f>
        <v> </v>
      </c>
      <c r="G20" s="164" t="str">
        <f>IF(G19=0," ",IF(G19&lt;28.5,TRUNC(5.74352*(28.5-G19)^1.92)," "))</f>
        <v> </v>
      </c>
      <c r="H20" s="158" t="str">
        <f>IF(H19&gt;4,TRUNC(12.91*(H19-4)^1.1)," ")</f>
        <v> </v>
      </c>
      <c r="I20" s="158" t="str">
        <f>IF(I19&gt;100,TRUNC(0.2797*(I19-100)^1.35)," ")</f>
        <v> </v>
      </c>
      <c r="J20" s="158" t="str">
        <f>IF(J19&gt;7,TRUNC(10.14*(J19-7)^1.08)," ")</f>
        <v> </v>
      </c>
      <c r="K20" s="165" t="str">
        <f>IF(K19=0," ",IF(K19&lt;480,TRUNC(0.03768*(480-K19)^1.85)," "))</f>
        <v> </v>
      </c>
      <c r="L20" s="166"/>
      <c r="M20" s="167">
        <f>SUM(B20:K20)</f>
        <v>0</v>
      </c>
      <c r="N20" s="195"/>
      <c r="O20" s="209">
        <f>MAX(B20:K20)</f>
        <v>0</v>
      </c>
      <c r="P20" s="168">
        <f>MAX(B20:C20,E20:K20)</f>
        <v>0</v>
      </c>
    </row>
    <row r="21" spans="1:16" s="7" customFormat="1" ht="23.25" customHeight="1" hidden="1">
      <c r="A21" s="114" t="s">
        <v>94</v>
      </c>
      <c r="B21" s="131"/>
      <c r="C21" s="132"/>
      <c r="D21" s="133"/>
      <c r="E21" s="132"/>
      <c r="F21" s="133"/>
      <c r="G21" s="133"/>
      <c r="H21" s="133"/>
      <c r="I21" s="132"/>
      <c r="J21" s="133"/>
      <c r="K21" s="134"/>
      <c r="L21" s="135"/>
      <c r="M21" s="104"/>
      <c r="N21" s="198"/>
      <c r="O21" s="92"/>
      <c r="P21" s="146"/>
    </row>
    <row r="22" spans="1:16" s="169" customFormat="1" ht="18" hidden="1">
      <c r="A22" s="155" t="s">
        <v>58</v>
      </c>
      <c r="B22" s="156" t="str">
        <f>IF(B21=0," ",IF(B21&lt;18,TRUNC(25.4347*(18-B21)^1.81)," "))</f>
        <v> </v>
      </c>
      <c r="C22" s="164" t="str">
        <f>IF(C21&gt;220,TRUNC(0.14354*(C21-220)^1.4)," ")</f>
        <v> </v>
      </c>
      <c r="D22" s="164" t="str">
        <f>IF(D21&gt;1.5,TRUNC(51.39*(D21-1.5)^1.05)," ")</f>
        <v> </v>
      </c>
      <c r="E22" s="158" t="str">
        <f>IF(E21&gt;75,TRUNC(0.84565*(E21-75)^1.42)," ")</f>
        <v> </v>
      </c>
      <c r="F22" s="158" t="str">
        <f>IF(F21=0," ",IF(F21&lt;82,TRUNC(1.53775*(82-F21)^1.81)," "))</f>
        <v> </v>
      </c>
      <c r="G22" s="158" t="str">
        <f>IF(G21=0," ",IF(G21&lt;28.5,TRUNC(5.74352*(28.5-G21)^1.92)," "))</f>
        <v> </v>
      </c>
      <c r="H22" s="158" t="str">
        <f>IF(H21&gt;4,TRUNC(12.91*(H21-4)^1.1)," ")</f>
        <v> </v>
      </c>
      <c r="I22" s="158" t="str">
        <f>IF(I21&gt;100,TRUNC(0.2797*(I21-100)^1.35)," ")</f>
        <v> </v>
      </c>
      <c r="J22" s="158" t="str">
        <f>IF(J21&gt;7,TRUNC(10.14*(J21-7)^1.08)," ")</f>
        <v> </v>
      </c>
      <c r="K22" s="165" t="str">
        <f>IF(K21=0," ",IF(K21&lt;480,TRUNC(0.03768*(480-K21)^1.85)," "))</f>
        <v> </v>
      </c>
      <c r="L22" s="166"/>
      <c r="M22" s="167">
        <f>SUM(B22:K22)</f>
        <v>0</v>
      </c>
      <c r="N22" s="195"/>
      <c r="O22" s="209">
        <f>MAX(B22:K22)</f>
        <v>0</v>
      </c>
      <c r="P22" s="168">
        <f>MAX(B22:C22,E22:K22)</f>
        <v>0</v>
      </c>
    </row>
    <row r="23" spans="1:16" s="23" customFormat="1" ht="42.75" customHeight="1">
      <c r="A23" s="110" t="s">
        <v>69</v>
      </c>
      <c r="B23" s="22"/>
      <c r="D23" s="100"/>
      <c r="E23" s="100"/>
      <c r="F23" s="100"/>
      <c r="G23" s="100" t="s">
        <v>59</v>
      </c>
      <c r="H23" s="100"/>
      <c r="I23" s="100"/>
      <c r="J23" s="100"/>
      <c r="M23" s="122"/>
      <c r="N23" s="199"/>
      <c r="O23" s="94"/>
      <c r="P23" s="24"/>
    </row>
    <row r="24" spans="1:16" ht="18">
      <c r="A24" s="23"/>
      <c r="B24" s="22"/>
      <c r="C24" s="23"/>
      <c r="D24" s="100" t="s">
        <v>12</v>
      </c>
      <c r="E24" s="100"/>
      <c r="F24" s="100"/>
      <c r="G24" s="100" t="s">
        <v>60</v>
      </c>
      <c r="H24" s="100" t="s">
        <v>15</v>
      </c>
      <c r="I24" s="100"/>
      <c r="J24" s="100" t="s">
        <v>17</v>
      </c>
      <c r="K24" s="23"/>
      <c r="M24" s="123"/>
      <c r="N24" s="200"/>
      <c r="P24" s="24"/>
    </row>
    <row r="25" spans="1:16" ht="18">
      <c r="A25" s="23"/>
      <c r="B25" s="22"/>
      <c r="C25" s="23"/>
      <c r="D25" s="236" t="s">
        <v>13</v>
      </c>
      <c r="E25" s="237"/>
      <c r="F25" s="237"/>
      <c r="G25" s="110" t="s">
        <v>128</v>
      </c>
      <c r="H25" s="110" t="s">
        <v>16</v>
      </c>
      <c r="I25" s="110"/>
      <c r="J25" s="110" t="s">
        <v>18</v>
      </c>
      <c r="K25" s="23"/>
      <c r="M25" s="123"/>
      <c r="N25" s="200"/>
      <c r="P25" s="24"/>
    </row>
    <row r="26" spans="2:16" s="7" customFormat="1" ht="30" customHeight="1">
      <c r="B26" s="142" t="s">
        <v>50</v>
      </c>
      <c r="C26" s="143" t="s">
        <v>61</v>
      </c>
      <c r="D26" s="143" t="s">
        <v>62</v>
      </c>
      <c r="E26" s="143" t="s">
        <v>63</v>
      </c>
      <c r="F26" s="143" t="s">
        <v>6</v>
      </c>
      <c r="G26" s="143" t="s">
        <v>64</v>
      </c>
      <c r="H26" s="143" t="s">
        <v>65</v>
      </c>
      <c r="I26" s="143" t="s">
        <v>67</v>
      </c>
      <c r="J26" s="143" t="s">
        <v>66</v>
      </c>
      <c r="K26" s="144" t="s">
        <v>4</v>
      </c>
      <c r="L26" s="140"/>
      <c r="M26" s="124" t="s">
        <v>68</v>
      </c>
      <c r="N26" s="145"/>
      <c r="O26" s="92" t="s">
        <v>86</v>
      </c>
      <c r="P26" s="146" t="s">
        <v>87</v>
      </c>
    </row>
    <row r="27" spans="1:16" s="7" customFormat="1" ht="28.5" customHeight="1">
      <c r="A27" s="114" t="s">
        <v>126</v>
      </c>
      <c r="B27" s="131"/>
      <c r="C27" s="132"/>
      <c r="D27" s="133"/>
      <c r="E27" s="132"/>
      <c r="F27" s="133"/>
      <c r="G27" s="133"/>
      <c r="H27" s="133"/>
      <c r="I27" s="132"/>
      <c r="J27" s="193"/>
      <c r="K27" s="133"/>
      <c r="L27" s="140"/>
      <c r="M27" s="129"/>
      <c r="N27" s="143"/>
      <c r="O27" s="92"/>
      <c r="P27" s="146"/>
    </row>
    <row r="28" spans="1:16" s="169" customFormat="1" ht="28.5" customHeight="1">
      <c r="A28" s="238" t="s">
        <v>122</v>
      </c>
      <c r="B28" s="156" t="str">
        <f>IF(B27=0," ",IF(B27&lt;20.7,TRUNC(25.4347*(18-B27*B$74)^1.81)," "))</f>
        <v> </v>
      </c>
      <c r="C28" s="158" t="str">
        <f>IF(C27&gt;166,TRUNC(0.14354*(C27*C$74-220)^1.4)," ")</f>
        <v> </v>
      </c>
      <c r="D28" s="158" t="str">
        <f>IF(D27&gt;1.5,TRUNC(51.39*(D27*D$74-1.5)^1.05)," ")</f>
        <v> </v>
      </c>
      <c r="E28" s="158" t="str">
        <f>IF(E27&gt;58,TRUNC(0.84565*(E27*E$74-75)^1.42)," ")</f>
        <v> </v>
      </c>
      <c r="F28" s="158" t="str">
        <f>IF(F27=0," ",IF(F27&lt;96.35,TRUNC(1.53775*(82-F27*F$74)^1.81)," "))</f>
        <v> </v>
      </c>
      <c r="G28" s="158" t="str">
        <f>IF(G27=0," ",IF(G27&lt;28.5,TRUNC(5.74352*(28.5-G27*G$74)^1.92)," "))</f>
        <v> </v>
      </c>
      <c r="H28" s="158" t="str">
        <f>IF(H27&gt;4,TRUNC(12.91*(H27*H$74-4)^1.1)," ")</f>
        <v> </v>
      </c>
      <c r="I28" s="158" t="str">
        <f>IF(I27&gt;75,TRUNC(0.2797*(I27*I$74-100)^1.35)," ")</f>
        <v> </v>
      </c>
      <c r="J28" s="158" t="str">
        <f>IF(J27&gt;6,TRUNC(10.14*(J27*J$74-7)^1.08)," ")</f>
        <v> </v>
      </c>
      <c r="K28" s="170" t="str">
        <f>IF(K27=0," ",IF(K27&lt;580,TRUNC(0.03768*(480-K27*K$74)^1.85)," "))</f>
        <v> </v>
      </c>
      <c r="L28" s="173"/>
      <c r="M28" s="160">
        <f>SUM(B28:K28)</f>
        <v>0</v>
      </c>
      <c r="N28" s="195"/>
      <c r="O28" s="209">
        <f>MAX(B28:K28)</f>
        <v>0</v>
      </c>
      <c r="P28" s="168">
        <f>MAX(B28:C28,E28:K28)</f>
        <v>0</v>
      </c>
    </row>
    <row r="29" spans="1:16" s="7" customFormat="1" ht="28.5" customHeight="1">
      <c r="A29" s="114" t="s">
        <v>146</v>
      </c>
      <c r="B29" s="131">
        <v>13.73</v>
      </c>
      <c r="C29" s="132">
        <v>415</v>
      </c>
      <c r="D29" s="133">
        <v>10.27</v>
      </c>
      <c r="E29" s="132">
        <v>125</v>
      </c>
      <c r="F29" s="133">
        <v>70.59</v>
      </c>
      <c r="G29" s="254">
        <v>21.54</v>
      </c>
      <c r="H29" s="133">
        <v>18.96</v>
      </c>
      <c r="I29" s="132"/>
      <c r="J29" s="133">
        <v>23.62</v>
      </c>
      <c r="K29" s="133">
        <v>427</v>
      </c>
      <c r="L29" s="140"/>
      <c r="M29" s="129"/>
      <c r="N29" s="143"/>
      <c r="O29" s="92"/>
      <c r="P29" s="146"/>
    </row>
    <row r="30" spans="1:16" s="169" customFormat="1" ht="28.5" customHeight="1">
      <c r="A30" s="230" t="s">
        <v>129</v>
      </c>
      <c r="B30" s="156">
        <f>IF(B29=0," ",IF(B29&lt;20.7,TRUNC(25.4347*(18-B29*B$75)^1.81)," "))</f>
        <v>527</v>
      </c>
      <c r="C30" s="158">
        <f>IF(C29&gt;166,TRUNC(0.14354*(C29*C$75-220)^1.4)," ")</f>
        <v>362</v>
      </c>
      <c r="D30" s="158">
        <f>IF(D29&gt;1.5,TRUNC(51.39*(D29*D$75-1.5)^1.05)," ")</f>
        <v>572</v>
      </c>
      <c r="E30" s="158">
        <f>IF(E29&gt;58,TRUNC(0.84565*(E29*E$75-75)^1.42)," ")</f>
        <v>354</v>
      </c>
      <c r="F30" s="158">
        <f>IF(F29=0," ",IF(F29&lt;96.35,TRUNC(1.53775*(82-F29*F$75)^1.81)," "))</f>
        <v>296</v>
      </c>
      <c r="G30" s="158">
        <f>IF(G29=0," ",TRUNC(5.74352*(28.5-G29*G$75)^1.92))</f>
        <v>369</v>
      </c>
      <c r="H30" s="158">
        <f>IF(H29&gt;4,TRUNC(12.91*(H29*H$76-4)^1.1)," ")</f>
        <v>253</v>
      </c>
      <c r="I30" s="158" t="str">
        <f>IF(I29&gt;75,TRUNC(0.2797*(I29*I$75-100)^1.35)," ")</f>
        <v> </v>
      </c>
      <c r="J30" s="174">
        <f>IF(J29&gt;6,TRUNC(10.14*(J29*J$75-7)^1.08)," ")</f>
        <v>285</v>
      </c>
      <c r="K30" s="158">
        <f>IF(K29=0," ",TRUNC(0.03768*(480-K29*K$75)^1.85))</f>
        <v>181</v>
      </c>
      <c r="L30" s="173"/>
      <c r="M30" s="160">
        <f>SUM(B30:K30)</f>
        <v>3199</v>
      </c>
      <c r="N30" s="195" t="s">
        <v>113</v>
      </c>
      <c r="O30" s="209">
        <f>MAX(B30:K30)</f>
        <v>572</v>
      </c>
      <c r="P30" s="168">
        <f>MAX(B30:C30,E30:K30)</f>
        <v>527</v>
      </c>
    </row>
    <row r="31" spans="1:16" s="7" customFormat="1" ht="28.5" customHeight="1">
      <c r="A31" s="114" t="s">
        <v>125</v>
      </c>
      <c r="B31" s="136">
        <v>14.61</v>
      </c>
      <c r="C31" s="137">
        <v>446</v>
      </c>
      <c r="D31" s="138">
        <v>8.78</v>
      </c>
      <c r="E31" s="137">
        <v>125</v>
      </c>
      <c r="F31" s="138">
        <v>69.25</v>
      </c>
      <c r="G31" s="138">
        <v>20.31</v>
      </c>
      <c r="H31" s="138">
        <v>30.72</v>
      </c>
      <c r="I31" s="137">
        <v>250</v>
      </c>
      <c r="J31" s="138">
        <v>30.93</v>
      </c>
      <c r="K31" s="138">
        <v>350</v>
      </c>
      <c r="L31" s="139"/>
      <c r="M31" s="120"/>
      <c r="N31" s="130"/>
      <c r="O31" s="92"/>
      <c r="P31" s="146"/>
    </row>
    <row r="32" spans="1:16" s="169" customFormat="1" ht="28.5" customHeight="1">
      <c r="A32" s="235" t="s">
        <v>123</v>
      </c>
      <c r="B32" s="156">
        <f>IF(B31=0," ",IF(B31&lt;20.7,TRUNC(25.4347*(18-B31*B$78)^1.81)," "))</f>
        <v>608</v>
      </c>
      <c r="C32" s="158">
        <f>IF(C31&gt;166,TRUNC(0.14354*(C31*C$78-220)^1.4)," ")</f>
        <v>681</v>
      </c>
      <c r="D32" s="158">
        <f>IF(D31&gt;1.5,TRUNC(51.39*(D31*D$78-1.5)^1.05)," ")</f>
        <v>555</v>
      </c>
      <c r="E32" s="158">
        <f>IF(E31&gt;58,TRUNC(0.84565*(E31*E$78-75)^1.42)," ")</f>
        <v>557</v>
      </c>
      <c r="F32" s="158">
        <f>IF(F31=0," ",IF(F31&lt;96.35,TRUNC(1.53775*(82-F31*F$78)^1.81)," "))</f>
        <v>538</v>
      </c>
      <c r="G32" s="158">
        <f>IF(G31=0," ",IF(G31&lt;31,TRUNC(5.74352*(28.5-G31*G$78)^1.92)," "))</f>
        <v>494</v>
      </c>
      <c r="H32" s="158">
        <f>IF(H31&gt;4,TRUNC(12.91*(H31*H$78-4)^1.1)," ")</f>
        <v>554</v>
      </c>
      <c r="I32" s="158">
        <f>IF(I31&gt;75,TRUNC(0.2797*(I31*I$78-100)^1.35)," ")</f>
        <v>534</v>
      </c>
      <c r="J32" s="158">
        <f>IF(J31&gt;6,TRUNC(10.14*(J31*J$78-7)^1.08)," ")</f>
        <v>527</v>
      </c>
      <c r="K32" s="170">
        <f>IF(K31=0," ",IF(K31&lt;580,TRUNC(0.03768*(480-K31*K$78)^1.85)," "))</f>
        <v>715</v>
      </c>
      <c r="L32" s="171"/>
      <c r="M32" s="160">
        <f>SUM(B32:K32)</f>
        <v>5763</v>
      </c>
      <c r="N32" s="195" t="s">
        <v>109</v>
      </c>
      <c r="O32" s="209">
        <f>MAX(B32:K32)</f>
        <v>715</v>
      </c>
      <c r="P32" s="168">
        <f>MAX(B32:C32,E32:K32)</f>
        <v>715</v>
      </c>
    </row>
    <row r="33" spans="1:16" s="7" customFormat="1" ht="28.5" customHeight="1">
      <c r="A33" s="114" t="s">
        <v>140</v>
      </c>
      <c r="B33" s="136">
        <v>15.65</v>
      </c>
      <c r="C33" s="137">
        <v>375</v>
      </c>
      <c r="D33" s="138">
        <v>7.79</v>
      </c>
      <c r="E33" s="137">
        <v>120</v>
      </c>
      <c r="F33" s="138">
        <v>75.42</v>
      </c>
      <c r="G33" s="138">
        <v>20.95</v>
      </c>
      <c r="H33" s="138">
        <v>22.32</v>
      </c>
      <c r="I33" s="232">
        <v>230</v>
      </c>
      <c r="J33" s="233">
        <v>24.59</v>
      </c>
      <c r="K33" s="234">
        <v>392</v>
      </c>
      <c r="L33" s="139"/>
      <c r="M33" s="129"/>
      <c r="N33" s="143"/>
      <c r="O33" s="92"/>
      <c r="P33" s="146"/>
    </row>
    <row r="34" spans="1:16" s="169" customFormat="1" ht="28.5" customHeight="1">
      <c r="A34" s="235" t="s">
        <v>123</v>
      </c>
      <c r="B34" s="156">
        <f>IF(B33=0," ",IF(B33&lt;20.7,TRUNC(25.4347*(18-B33*B$78)^1.81)," "))</f>
        <v>452</v>
      </c>
      <c r="C34" s="158">
        <f>IF(C33&gt;166,TRUNC(0.14354*(C33*C$78-220)^1.4)," ")</f>
        <v>462</v>
      </c>
      <c r="D34" s="158">
        <f>IF(D33&gt;1.5,TRUNC(51.39*(D33*D$78-1.5)^1.05)," ")</f>
        <v>479</v>
      </c>
      <c r="E34" s="158">
        <f>IF(E33&gt;58,TRUNC(0.84565*(E33*E$78-75)^1.42)," ")</f>
        <v>501</v>
      </c>
      <c r="F34" s="158">
        <f>IF(F33=0," ",IF(F33&lt;96.35,TRUNC(1.53775*(82-F33*F$78)^1.81)," "))</f>
        <v>361</v>
      </c>
      <c r="G34" s="158">
        <f>IF(G33=0," ",IF(G33&lt;31,TRUNC(5.74352*(28.5-G33*G$78)^1.92)," "))</f>
        <v>442</v>
      </c>
      <c r="H34" s="158">
        <f>IF(H33&gt;4,TRUNC(12.91*(H33*H$78-4)^1.1)," ")</f>
        <v>368</v>
      </c>
      <c r="I34" s="158">
        <f>IF(I33&gt;75,TRUNC(0.2797*(I33*I$78-100)^1.35)," ")</f>
        <v>456</v>
      </c>
      <c r="J34" s="158">
        <f>IF(J33&gt;6,TRUNC(10.14*(J33*J$78-7)^1.08)," ")</f>
        <v>390</v>
      </c>
      <c r="K34" s="170">
        <f>IF(K33=0," ",IF(K33&lt;580,TRUNC(0.03768*(480-K33*K$78)^1.85)," "))</f>
        <v>517</v>
      </c>
      <c r="L34" s="171"/>
      <c r="M34" s="160">
        <f>SUM(B34:K34)</f>
        <v>4428</v>
      </c>
      <c r="N34" s="195" t="s">
        <v>110</v>
      </c>
      <c r="O34" s="209">
        <f>MAX(B34:K34)</f>
        <v>517</v>
      </c>
      <c r="P34" s="168">
        <f>MAX(B34:C34,E34:K34)</f>
        <v>517</v>
      </c>
    </row>
    <row r="35" spans="1:16" s="7" customFormat="1" ht="28.5" customHeight="1">
      <c r="A35" s="114" t="s">
        <v>133</v>
      </c>
      <c r="B35" s="136">
        <v>15.93</v>
      </c>
      <c r="C35" s="137">
        <v>351</v>
      </c>
      <c r="D35" s="138">
        <v>7.57</v>
      </c>
      <c r="E35" s="137">
        <v>115</v>
      </c>
      <c r="F35" s="138">
        <v>82.03</v>
      </c>
      <c r="G35" s="138">
        <v>23.46</v>
      </c>
      <c r="H35" s="138">
        <v>19.23</v>
      </c>
      <c r="I35" s="137">
        <v>190</v>
      </c>
      <c r="J35" s="138">
        <v>18.44</v>
      </c>
      <c r="K35" s="138">
        <v>393</v>
      </c>
      <c r="L35" s="139"/>
      <c r="M35" s="129"/>
      <c r="N35" s="143"/>
      <c r="O35" s="92"/>
      <c r="P35" s="146"/>
    </row>
    <row r="36" spans="1:16" s="169" customFormat="1" ht="28.5" customHeight="1">
      <c r="A36" s="235" t="s">
        <v>123</v>
      </c>
      <c r="B36" s="156">
        <f>IF(B35=0," ",IF(B35&lt;20.7,TRUNC(25.4347*(18-B35*B$78)^1.81)," "))</f>
        <v>414</v>
      </c>
      <c r="C36" s="158">
        <f>IF(C35&gt;166,TRUNC(0.14354*(C35*C$78-220)^1.4)," ")</f>
        <v>394</v>
      </c>
      <c r="D36" s="158">
        <f>IF(D35&gt;1.5,TRUNC(51.39*(D35*D$78-1.5)^1.05)," ")</f>
        <v>463</v>
      </c>
      <c r="E36" s="158">
        <f>IF(E35&gt;58,TRUNC(0.84565*(E35*E$78-75)^1.42)," ")</f>
        <v>448</v>
      </c>
      <c r="F36" s="158">
        <f>IF(F35=0," ",IF(F35&lt;96.35,TRUNC(1.53775*(82-F35*F$78)^1.81)," "))</f>
        <v>207</v>
      </c>
      <c r="G36" s="158">
        <f>IF(G35=0," ",IF(G35&lt;31,TRUNC(5.74352*(28.5-G35*G$78)^1.92)," "))</f>
        <v>264</v>
      </c>
      <c r="H36" s="158">
        <f>IF(H35&gt;4,TRUNC(12.91*(H35*H$78-4)^1.1)," ")</f>
        <v>302</v>
      </c>
      <c r="I36" s="158">
        <f>IF(I35&gt;75,TRUNC(0.2797*(I35*I$78-100)^1.35)," ")</f>
        <v>311</v>
      </c>
      <c r="J36" s="158">
        <f>IF(J35&gt;6,TRUNC(10.14*(J35*J$78-7)^1.08)," ")</f>
        <v>261</v>
      </c>
      <c r="K36" s="170">
        <f>IF(K35=0," ",IF(K35&lt;580,TRUNC(0.03768*(480-K35*K$78)^1.85)," "))</f>
        <v>513</v>
      </c>
      <c r="L36" s="171"/>
      <c r="M36" s="160">
        <f>SUM(B36:K36)</f>
        <v>3577</v>
      </c>
      <c r="N36" s="195" t="s">
        <v>134</v>
      </c>
      <c r="O36" s="209">
        <f>MAX(B36:K36)</f>
        <v>513</v>
      </c>
      <c r="P36" s="168">
        <f>MAX(B36:C36,E36:K36)</f>
        <v>513</v>
      </c>
    </row>
    <row r="37" spans="1:16" s="7" customFormat="1" ht="28.5" customHeight="1">
      <c r="A37" s="114" t="s">
        <v>139</v>
      </c>
      <c r="B37" s="136">
        <v>19.5</v>
      </c>
      <c r="C37" s="137">
        <v>294</v>
      </c>
      <c r="D37" s="138">
        <v>6.94</v>
      </c>
      <c r="E37" s="137">
        <v>120</v>
      </c>
      <c r="F37" s="138"/>
      <c r="G37" s="138"/>
      <c r="H37" s="138">
        <v>17.82</v>
      </c>
      <c r="I37" s="137">
        <v>210</v>
      </c>
      <c r="J37" s="138">
        <v>18.64</v>
      </c>
      <c r="K37" s="138"/>
      <c r="L37" s="139"/>
      <c r="M37" s="129"/>
      <c r="N37" s="143"/>
      <c r="O37" s="92"/>
      <c r="P37" s="146"/>
    </row>
    <row r="38" spans="1:16" s="169" customFormat="1" ht="28.5" customHeight="1">
      <c r="A38" s="235" t="s">
        <v>123</v>
      </c>
      <c r="B38" s="156">
        <f>IF(B37=0," ",IF(B37&lt;20.7,TRUNC(25.4347*(18-B37*B$78)^1.81)," "))</f>
        <v>65</v>
      </c>
      <c r="C38" s="158">
        <f>IF(C37&gt;166,TRUNC(0.14354*(C37*C$78-220)^1.4)," ")</f>
        <v>245</v>
      </c>
      <c r="D38" s="158">
        <f>IF(D37&gt;1.5,TRUNC(51.39*(D37*D$78-1.5)^1.05)," ")</f>
        <v>415</v>
      </c>
      <c r="E38" s="158">
        <f>IF(E37&gt;58,TRUNC(0.84565*(E37*E$78-75)^1.42)," ")</f>
        <v>501</v>
      </c>
      <c r="F38" s="158" t="str">
        <f>IF(F37=0," ",IF(F37&lt;96.35,TRUNC(1.53775*(82-F37*F$78)^1.81)," "))</f>
        <v> </v>
      </c>
      <c r="G38" s="158" t="str">
        <f>IF(G37=0," ",IF(G37&lt;31,TRUNC(5.74352*(28.5-G37*G$78)^1.92)," "))</f>
        <v> </v>
      </c>
      <c r="H38" s="158">
        <f>IF(H37&gt;4,TRUNC(12.91*(H37*H$78-4)^1.1)," ")</f>
        <v>272</v>
      </c>
      <c r="I38" s="158">
        <f>IF(I37&gt;75,TRUNC(0.2797*(I37*I$78-100)^1.35)," ")</f>
        <v>382</v>
      </c>
      <c r="J38" s="158">
        <f>IF(J37&gt;6,TRUNC(10.14*(J37*J$78-7)^1.08)," ")</f>
        <v>266</v>
      </c>
      <c r="K38" s="170" t="str">
        <f>IF(K37=0," ",IF(K37&lt;580,TRUNC(0.03768*(480-K37*K$78)^1.85)," "))</f>
        <v> </v>
      </c>
      <c r="L38" s="171"/>
      <c r="M38" s="160">
        <f>SUM(B38:K38)</f>
        <v>2146</v>
      </c>
      <c r="N38" s="195" t="s">
        <v>135</v>
      </c>
      <c r="O38" s="209">
        <f>MAX(B38:K38)</f>
        <v>501</v>
      </c>
      <c r="P38" s="255">
        <f>MAX(B38:C38,E38:K38)</f>
        <v>501</v>
      </c>
    </row>
    <row r="39" spans="1:16" s="7" customFormat="1" ht="28.5" customHeight="1">
      <c r="A39" s="114" t="s">
        <v>39</v>
      </c>
      <c r="B39" s="136"/>
      <c r="C39" s="137"/>
      <c r="D39" s="138">
        <v>7.36</v>
      </c>
      <c r="E39" s="137"/>
      <c r="F39" s="138"/>
      <c r="G39" s="138"/>
      <c r="H39" s="138">
        <v>20.73</v>
      </c>
      <c r="I39" s="137"/>
      <c r="J39" s="138">
        <v>16.44</v>
      </c>
      <c r="K39" s="138"/>
      <c r="L39" s="141"/>
      <c r="M39" s="129"/>
      <c r="N39" s="143"/>
      <c r="O39" s="92"/>
      <c r="P39" s="146"/>
    </row>
    <row r="40" spans="1:16" s="155" customFormat="1" ht="28.5" customHeight="1">
      <c r="A40" s="235" t="s">
        <v>123</v>
      </c>
      <c r="B40" s="156" t="str">
        <f>IF(B39=0," ",IF(B39&lt;20.7,TRUNC(25.4347*(18-B39*B$78)^1.81)," "))</f>
        <v> </v>
      </c>
      <c r="C40" s="158" t="str">
        <f>IF(C39&gt;166,TRUNC(0.14354*(C39*C$78-220)^1.4)," ")</f>
        <v> </v>
      </c>
      <c r="D40" s="158">
        <f>IF(D39&gt;1.5,TRUNC(51.39*(D39*D$78-1.5)^1.05)," ")</f>
        <v>447</v>
      </c>
      <c r="E40" s="158" t="str">
        <f>IF(E39&gt;58,TRUNC(0.84565*(E39*E$78-75)^1.42)," ")</f>
        <v> </v>
      </c>
      <c r="F40" s="158" t="str">
        <f>IF(F39=0," ",IF(F39&lt;96.35,TRUNC(1.53775*(82-F39*F$78)^1.81)," "))</f>
        <v> </v>
      </c>
      <c r="G40" s="158" t="str">
        <f>IF(G39=0," ",IF(G39&lt;31,TRUNC(5.74352*(28.5-G39*G$78)^1.92)," "))</f>
        <v> </v>
      </c>
      <c r="H40" s="158">
        <f>IF(H39&gt;4,TRUNC(12.91*(H39*H$78-4)^1.1)," ")</f>
        <v>334</v>
      </c>
      <c r="I40" s="158" t="str">
        <f>IF(I39&gt;75,TRUNC(0.2797*(I39*I$78-100)^1.35)," ")</f>
        <v> </v>
      </c>
      <c r="J40" s="158">
        <f>IF(J39&gt;6,TRUNC(10.14*(J39*J$78-7)^1.08)," ")</f>
        <v>220</v>
      </c>
      <c r="K40" s="170" t="str">
        <f>IF(K39=0," ",IF(K39&lt;580,TRUNC(0.03768*(480-K39*K$78)^1.85)," "))</f>
        <v> </v>
      </c>
      <c r="L40" s="171"/>
      <c r="M40" s="160">
        <f>SUM(B40:K40)</f>
        <v>1001</v>
      </c>
      <c r="N40" s="195" t="s">
        <v>136</v>
      </c>
      <c r="O40" s="209">
        <f>MAX(B40:K40)</f>
        <v>447</v>
      </c>
      <c r="P40" s="168">
        <f>MAX(B40:C40,E40:K40)</f>
        <v>334</v>
      </c>
    </row>
    <row r="41" spans="1:16" s="7" customFormat="1" ht="28.5" customHeight="1">
      <c r="A41" s="114" t="s">
        <v>138</v>
      </c>
      <c r="B41" s="136">
        <v>18.92</v>
      </c>
      <c r="C41" s="137">
        <v>318</v>
      </c>
      <c r="D41" s="138">
        <v>9.07</v>
      </c>
      <c r="E41" s="137">
        <v>110</v>
      </c>
      <c r="F41" s="138">
        <v>82.83</v>
      </c>
      <c r="G41" s="138"/>
      <c r="H41" s="138">
        <v>22.58</v>
      </c>
      <c r="I41" s="137"/>
      <c r="J41" s="138">
        <v>27.81</v>
      </c>
      <c r="K41" s="138">
        <v>457</v>
      </c>
      <c r="L41" s="139"/>
      <c r="M41" s="129"/>
      <c r="N41" s="143"/>
      <c r="O41" s="92"/>
      <c r="P41" s="146"/>
    </row>
    <row r="42" spans="1:16" s="169" customFormat="1" ht="28.5" customHeight="1">
      <c r="A42" s="235" t="s">
        <v>130</v>
      </c>
      <c r="B42" s="156">
        <f>IF(B41=0," ",IF(B41&lt;20.7,TRUNC(25.4347*(18-B41*B$77)^1.81)," "))</f>
        <v>64</v>
      </c>
      <c r="C42" s="158">
        <f>IF(C41&gt;166,TRUNC(0.14354*(C41*C$77-220)^1.4)," ")</f>
        <v>250</v>
      </c>
      <c r="D42" s="158">
        <f>IF(D41&gt;1.5,TRUNC(51.39*(D41*D$77-1.5)^1.05)," ")</f>
        <v>579</v>
      </c>
      <c r="E42" s="158">
        <f>IF(E41&gt;58,TRUNC(0.84565*(E41*E$77-75)^1.42)," ")</f>
        <v>334</v>
      </c>
      <c r="F42" s="158">
        <f>IF(F41=0," ",IF(F41&lt;96.35,TRUNC(1.53775*(82-F41*F$77)^1.81)," "))</f>
        <v>141</v>
      </c>
      <c r="G42" s="158" t="str">
        <f>IF(G41=0," ",IF(G41&lt;31,TRUNC(5.74352*(28.5-G41*G$77)^1.92)," "))</f>
        <v> </v>
      </c>
      <c r="H42" s="158">
        <f>IF(H41&gt;4,TRUNC(12.91*(H41*H$77-4)^1.1)," ")</f>
        <v>363</v>
      </c>
      <c r="I42" s="158"/>
      <c r="J42" s="158">
        <f>IF(J41&gt;6,TRUNC(10.14*(J41*J$77-7)^1.08)," ")</f>
        <v>429</v>
      </c>
      <c r="K42" s="170">
        <f>IF(K41=0," ",IF(K41&lt;580,TRUNC(0.03768*(480-K41*K$77)^1.85)," "))</f>
        <v>210</v>
      </c>
      <c r="L42" s="171"/>
      <c r="M42" s="160">
        <f>SUM(B42:K42)</f>
        <v>2370</v>
      </c>
      <c r="N42" s="195" t="s">
        <v>111</v>
      </c>
      <c r="O42" s="209">
        <f>MAX(B42:K42)</f>
        <v>579</v>
      </c>
      <c r="P42" s="168">
        <f>MAX(B42:C42,E42:K42)</f>
        <v>429</v>
      </c>
    </row>
    <row r="43" spans="1:16" s="7" customFormat="1" ht="28.5" customHeight="1">
      <c r="A43" s="114" t="s">
        <v>38</v>
      </c>
      <c r="B43" s="136">
        <v>18.04</v>
      </c>
      <c r="C43" s="137">
        <v>266</v>
      </c>
      <c r="D43" s="138">
        <v>7.14</v>
      </c>
      <c r="E43" s="137">
        <v>90</v>
      </c>
      <c r="F43" s="138">
        <v>98.74</v>
      </c>
      <c r="G43" s="138"/>
      <c r="H43" s="138">
        <v>21.45</v>
      </c>
      <c r="I43" s="137"/>
      <c r="J43" s="138">
        <v>19.24</v>
      </c>
      <c r="K43" s="138"/>
      <c r="L43" s="139"/>
      <c r="M43" s="129"/>
      <c r="N43" s="143"/>
      <c r="O43" s="92"/>
      <c r="P43" s="146"/>
    </row>
    <row r="44" spans="1:16" s="169" customFormat="1" ht="28.5" customHeight="1">
      <c r="A44" s="235" t="s">
        <v>130</v>
      </c>
      <c r="B44" s="156">
        <f>IF(B43=0," ",IF(B43&lt;20.7,TRUNC(25.4347*(18-B43*B$77)^1.81)," "))</f>
        <v>126</v>
      </c>
      <c r="C44" s="158">
        <f>IF(C43&gt;166,TRUNC(0.14354*(C43*C$77-220)^1.4)," ")</f>
        <v>140</v>
      </c>
      <c r="D44" s="158">
        <f>IF(D43&gt;1.5,TRUNC(51.39*(D43*D$77-1.5)^1.05)," ")</f>
        <v>431</v>
      </c>
      <c r="E44" s="158">
        <f>IF(E43&gt;58,TRUNC(0.84565*(E43*E$77-75)^1.42)," ")</f>
        <v>167</v>
      </c>
      <c r="F44" s="158" t="str">
        <f>IF(F43=0," ",IF(F43&lt;96.35,TRUNC(1.53775*(82-F43*F$77)^1.81)," "))</f>
        <v> </v>
      </c>
      <c r="G44" s="158" t="str">
        <f>IF(G43=0," ",IF(G43&lt;31,TRUNC(5.74352*(28.5-G43*G$77)^1.92)," "))</f>
        <v> </v>
      </c>
      <c r="H44" s="158">
        <f>IF(H43&gt;4,TRUNC(12.91*(H43*H$77-4)^1.1)," ")</f>
        <v>339</v>
      </c>
      <c r="I44" s="158" t="str">
        <f>IF(I43&gt;75,TRUNC(0.2797*(I43*I$77-100)^1.35)," ")</f>
        <v> </v>
      </c>
      <c r="J44" s="158">
        <f>IF(J43&gt;6,TRUNC(10.14*(J43*J$77-7)^1.08)," ")</f>
        <v>258</v>
      </c>
      <c r="K44" s="170" t="str">
        <f>IF(K43=0," ",IF(K43&lt;580,TRUNC(0.03768*(480-K43*K$77)^1.85)," "))</f>
        <v> </v>
      </c>
      <c r="L44" s="171"/>
      <c r="M44" s="160">
        <f>SUM(B44:K44)</f>
        <v>1461</v>
      </c>
      <c r="N44" s="195" t="s">
        <v>112</v>
      </c>
      <c r="O44" s="209">
        <f>MAX(B44:K44)</f>
        <v>431</v>
      </c>
      <c r="P44" s="168">
        <f>MAX(B44:C44,E44:K44)</f>
        <v>339</v>
      </c>
    </row>
    <row r="45" spans="1:16" s="7" customFormat="1" ht="28.5" customHeight="1">
      <c r="A45" s="114" t="s">
        <v>41</v>
      </c>
      <c r="B45" s="136">
        <v>18.37</v>
      </c>
      <c r="C45" s="137">
        <v>252</v>
      </c>
      <c r="D45" s="138">
        <v>6.67</v>
      </c>
      <c r="E45" s="137">
        <v>90</v>
      </c>
      <c r="F45" s="138">
        <v>97.43</v>
      </c>
      <c r="G45" s="138"/>
      <c r="H45" s="138">
        <v>14.76</v>
      </c>
      <c r="I45" s="137"/>
      <c r="J45" s="138"/>
      <c r="K45" s="138">
        <v>520</v>
      </c>
      <c r="L45" s="139"/>
      <c r="M45" s="129"/>
      <c r="N45" s="143"/>
      <c r="O45" s="92"/>
      <c r="P45" s="146"/>
    </row>
    <row r="46" spans="1:16" s="169" customFormat="1" ht="28.5" customHeight="1">
      <c r="A46" s="235" t="s">
        <v>130</v>
      </c>
      <c r="B46" s="175">
        <f>IF(B45=0," ",IF(B45&lt;20.7,TRUNC(25.4347*(18-B45*B$77)^1.81)," "))</f>
        <v>100</v>
      </c>
      <c r="C46" s="176">
        <f>IF(C45&gt;166,TRUNC(0.14354*(C45*C$77-220)^1.4)," ")</f>
        <v>114</v>
      </c>
      <c r="D46" s="158">
        <f>IF(D45&gt;1.5,TRUNC(51.39*(D45*D$77-1.5)^1.05)," ")</f>
        <v>396</v>
      </c>
      <c r="E46" s="158">
        <f>IF(E45&gt;58,TRUNC(0.84565*(E45*E$77-75)^1.42)," ")</f>
        <v>167</v>
      </c>
      <c r="F46" s="158" t="str">
        <f>IF(F45=0," ",IF(F45&lt;96.35,TRUNC(1.53775*(82-F45*F$77)^1.81)," "))</f>
        <v> </v>
      </c>
      <c r="G46" s="158" t="str">
        <f>IF(G45=0," ",IF(G45&lt;31,TRUNC(5.74352*(28.5-G45*G$77)^1.92)," "))</f>
        <v> </v>
      </c>
      <c r="H46" s="158">
        <f>IF(H45&gt;4,TRUNC(12.91*(H45*H$77-4)^1.1)," ")</f>
        <v>202</v>
      </c>
      <c r="I46" s="158" t="str">
        <f>IF(I45&gt;75,TRUNC(0.2797*(I45*I$77-100)^1.35)," ")</f>
        <v> </v>
      </c>
      <c r="J46" s="158" t="str">
        <f>IF(J45&gt;6,TRUNC(10.14*(J45*J$77-7)^1.08)," ")</f>
        <v> </v>
      </c>
      <c r="K46" s="177">
        <f>IF(K45=0," ",IF(K45&lt;580,TRUNC(0.03768*(480-K45*K$77)^1.85)," "))</f>
        <v>61</v>
      </c>
      <c r="L46" s="171"/>
      <c r="M46" s="160">
        <f>SUM(B46:K46)</f>
        <v>1040</v>
      </c>
      <c r="N46" s="195" t="s">
        <v>144</v>
      </c>
      <c r="O46" s="209">
        <f>MAX(B46:K46)</f>
        <v>396</v>
      </c>
      <c r="P46" s="168">
        <f>MAX(B46:C46,E46:K46)</f>
        <v>202</v>
      </c>
    </row>
    <row r="47" spans="1:16" ht="28.5" customHeight="1">
      <c r="A47" s="114" t="s">
        <v>105</v>
      </c>
      <c r="B47" s="136"/>
      <c r="C47" s="137"/>
      <c r="D47" s="138">
        <v>5.84</v>
      </c>
      <c r="E47" s="137"/>
      <c r="F47" s="138"/>
      <c r="G47" s="138"/>
      <c r="H47" s="138">
        <v>17.38</v>
      </c>
      <c r="I47" s="137"/>
      <c r="J47" s="138">
        <v>15.31</v>
      </c>
      <c r="K47" s="138"/>
      <c r="L47" s="141"/>
      <c r="M47" s="129"/>
      <c r="N47" s="143"/>
      <c r="P47" s="24"/>
    </row>
    <row r="48" spans="1:16" s="169" customFormat="1" ht="28.5" customHeight="1">
      <c r="A48" s="235" t="s">
        <v>130</v>
      </c>
      <c r="B48" s="175" t="str">
        <f>IF(B47=0," ",IF(B47&lt;20.7,TRUNC(25.4347*(18-B47*B$77)^1.81)," "))</f>
        <v> </v>
      </c>
      <c r="C48" s="176" t="str">
        <f>IF(C47&gt;166,TRUNC(0.14354*(C47*C$77-220)^1.4)," ")</f>
        <v> </v>
      </c>
      <c r="D48" s="158">
        <f>IF(D47&gt;1.5,TRUNC(51.39*(D47*D$77-1.5)^1.05)," ")</f>
        <v>333</v>
      </c>
      <c r="E48" s="158" t="str">
        <f>IF(E47&gt;58,TRUNC(0.84565*(E47*E$77-75)^1.42)," ")</f>
        <v> </v>
      </c>
      <c r="F48" s="158" t="str">
        <f>IF(F47=0," ",IF(F47&lt;96.35,TRUNC(1.53775*(82-F47*F$77)^1.81)," "))</f>
        <v> </v>
      </c>
      <c r="G48" s="158" t="str">
        <f>IF(G47=0," ",IF(G47&lt;31,TRUNC(5.74352*(28.5-G47*G$77)^1.92)," "))</f>
        <v> </v>
      </c>
      <c r="H48" s="158">
        <f>IF(H47&gt;4,TRUNC(12.91*(H47*H$77-4)^1.1)," ")</f>
        <v>255</v>
      </c>
      <c r="I48" s="158" t="str">
        <f>IF(I47&gt;75,TRUNC(0.2797*(I47*I$77-100)^1.35)," ")</f>
        <v> </v>
      </c>
      <c r="J48" s="158">
        <f>IF(J47&gt;6,TRUNC(10.14*(J47*J$77-7)^1.08)," ")</f>
        <v>182</v>
      </c>
      <c r="K48" s="177" t="str">
        <f>IF(K47=0," ",IF(K47&lt;580,TRUNC(0.03768*(480-K47*K$77)^1.85)," "))</f>
        <v> </v>
      </c>
      <c r="L48" s="173"/>
      <c r="M48" s="160">
        <f>SUM(B48:K48)</f>
        <v>770</v>
      </c>
      <c r="N48" s="195" t="s">
        <v>143</v>
      </c>
      <c r="O48" s="209">
        <f>MAX(B48:K48)</f>
        <v>333</v>
      </c>
      <c r="P48" s="168">
        <f>MAX(B48:C48,E48:K48)</f>
        <v>255</v>
      </c>
    </row>
    <row r="49" spans="1:15" s="23" customFormat="1" ht="28.5" customHeight="1">
      <c r="A49" s="114" t="s">
        <v>104</v>
      </c>
      <c r="B49" s="131"/>
      <c r="C49" s="132"/>
      <c r="D49" s="133"/>
      <c r="E49" s="132"/>
      <c r="F49" s="133"/>
      <c r="G49" s="133"/>
      <c r="H49" s="133"/>
      <c r="I49" s="132"/>
      <c r="J49" s="133"/>
      <c r="K49" s="133"/>
      <c r="L49" s="140"/>
      <c r="M49" s="225"/>
      <c r="N49" s="199"/>
      <c r="O49" s="94"/>
    </row>
    <row r="50" spans="1:16" s="169" customFormat="1" ht="28.5" customHeight="1">
      <c r="A50" s="235" t="s">
        <v>123</v>
      </c>
      <c r="B50" s="156" t="str">
        <f>IF(B49=0," ",IF(B49&lt;20.7,TRUNC(25.4347*(18-B49*B$78)^1.81)," "))</f>
        <v> </v>
      </c>
      <c r="C50" s="158" t="str">
        <f>IF(C49&gt;166,TRUNC(0.14354*(C49*C$78-220)^1.4)," ")</f>
        <v> </v>
      </c>
      <c r="D50" s="158" t="str">
        <f>IF(D49&gt;1.5,TRUNC(51.39*(D49*D$78-1.5)^1.05)," ")</f>
        <v> </v>
      </c>
      <c r="E50" s="158" t="str">
        <f>IF(E49&gt;58,TRUNC(0.84565*(E49*E$78-75)^1.42)," ")</f>
        <v> </v>
      </c>
      <c r="F50" s="158" t="str">
        <f>IF(F49=0," ",IF(F49&lt;96.35,TRUNC(1.53775*(82-F49*F$78)^1.81)," "))</f>
        <v> </v>
      </c>
      <c r="G50" s="158" t="str">
        <f>IF(G49=0," ",IF(G49&lt;31,TRUNC(5.74352*(28.5-G49*G$78)^1.92)," "))</f>
        <v> </v>
      </c>
      <c r="H50" s="158" t="str">
        <f>IF(H49&gt;4,TRUNC(12.91*(H49*H$78-4)^1.1)," ")</f>
        <v> </v>
      </c>
      <c r="I50" s="158" t="str">
        <f>IF(I49&gt;75,TRUNC(0.2797*(I49*I$78-100)^1.35)," ")</f>
        <v> </v>
      </c>
      <c r="J50" s="158" t="str">
        <f>IF(J49&gt;6,TRUNC(10.14*(J49*J$78-7)^1.08)," ")</f>
        <v> </v>
      </c>
      <c r="K50" s="170" t="str">
        <f>IF(K49=0," ",IF(K49&lt;580,TRUNC(0.03768*(480-K49*K$78)^1.85)," "))</f>
        <v> </v>
      </c>
      <c r="L50" s="171"/>
      <c r="M50" s="160">
        <f>SUM(B50:K50)</f>
        <v>0</v>
      </c>
      <c r="N50" s="195"/>
      <c r="O50" s="209">
        <f>MAX(B50:K50)</f>
        <v>0</v>
      </c>
      <c r="P50" s="172">
        <f>MAX(B50:C50,E50:K50)</f>
        <v>0</v>
      </c>
    </row>
    <row r="51" spans="1:16" s="7" customFormat="1" ht="28.5" customHeight="1">
      <c r="A51" s="114" t="s">
        <v>106</v>
      </c>
      <c r="B51" s="131"/>
      <c r="C51" s="132"/>
      <c r="D51" s="133"/>
      <c r="E51" s="132"/>
      <c r="F51" s="133"/>
      <c r="G51" s="133"/>
      <c r="H51" s="133"/>
      <c r="I51" s="132"/>
      <c r="J51" s="133"/>
      <c r="K51" s="133"/>
      <c r="L51" s="140"/>
      <c r="M51" s="129"/>
      <c r="N51" s="143"/>
      <c r="O51" s="92"/>
      <c r="P51" s="146"/>
    </row>
    <row r="52" spans="1:16" s="169" customFormat="1" ht="28.5" customHeight="1">
      <c r="A52" s="235" t="s">
        <v>137</v>
      </c>
      <c r="B52" s="156" t="str">
        <f>IF(B51=0," ",IF(B51&lt;20.7,TRUNC(25.4347*(18-B51*B$76)^1.81)," "))</f>
        <v> </v>
      </c>
      <c r="C52" s="158" t="str">
        <f>IF(C51&gt;166,TRUNC(0.14354*(C51*C$76-220)^1.4)," ")</f>
        <v> </v>
      </c>
      <c r="D52" s="158" t="str">
        <f>IF(D51&gt;1.5,TRUNC(51.39*(D51*D$76-1.5)^1.05)," ")</f>
        <v> </v>
      </c>
      <c r="E52" s="158" t="str">
        <f>IF(E51&gt;58,TRUNC(0.84565*(E51*E$76-75)^1.42)," ")</f>
        <v> </v>
      </c>
      <c r="F52" s="158" t="str">
        <f>IF(F51=0," ",IF(F51&lt;96.35,TRUNC(1.53775*(82-F51*F$76)^1.81)," "))</f>
        <v> </v>
      </c>
      <c r="G52" s="158" t="str">
        <f>IF(G51=0," ",TRUNC(5.74352*(28.5-G51*G$76)^1.92))</f>
        <v> </v>
      </c>
      <c r="H52" s="158" t="str">
        <f>IF(H51&gt;4,TRUNC(12.91*(H51*H$75-4)^1.1)," ")</f>
        <v> </v>
      </c>
      <c r="I52" s="158" t="str">
        <f>IF(I51&gt;75,TRUNC(0.2797*(I51*I$76-100)^1.35)," ")</f>
        <v> </v>
      </c>
      <c r="J52" s="174" t="str">
        <f>IF(J51&gt;6,TRUNC(10.14*(J51*J$76-7)^1.08)," ")</f>
        <v> </v>
      </c>
      <c r="K52" s="158" t="str">
        <f>IF(K51=0," ",TRUNC(0.03768*(480-K51*K$76)^1.85))</f>
        <v> </v>
      </c>
      <c r="L52" s="173"/>
      <c r="M52" s="160">
        <f>SUM(B52:K52)</f>
        <v>0</v>
      </c>
      <c r="N52" s="195"/>
      <c r="O52" s="209">
        <f>MAX(B52:K52)</f>
        <v>0</v>
      </c>
      <c r="P52" s="168">
        <f>MAX(B52:C52,E52:K52)</f>
        <v>0</v>
      </c>
    </row>
    <row r="53" spans="1:16" s="7" customFormat="1" ht="28.5" customHeight="1">
      <c r="A53" s="114" t="s">
        <v>108</v>
      </c>
      <c r="B53" s="131"/>
      <c r="C53" s="132"/>
      <c r="D53" s="133"/>
      <c r="E53" s="132"/>
      <c r="F53" s="133"/>
      <c r="G53" s="133"/>
      <c r="H53" s="133"/>
      <c r="I53" s="132"/>
      <c r="J53" s="193"/>
      <c r="K53" s="133"/>
      <c r="L53" s="140"/>
      <c r="M53" s="129"/>
      <c r="N53" s="143"/>
      <c r="O53" s="92"/>
      <c r="P53" s="146"/>
    </row>
    <row r="54" spans="1:16" s="169" customFormat="1" ht="28.5" customHeight="1">
      <c r="A54" s="235" t="s">
        <v>121</v>
      </c>
      <c r="B54" s="156" t="str">
        <f>IF(B53=0," ",IF(B53&lt;20.7,TRUNC(25.4347*(18-B53*B$73)^1.81)," "))</f>
        <v> </v>
      </c>
      <c r="C54" s="158" t="str">
        <f>IF(C53&gt;166,TRUNC(0.14354*(C53*C$73-220)^1.4)," ")</f>
        <v> </v>
      </c>
      <c r="D54" s="158" t="str">
        <f>IF(D53&gt;1.5,TRUNC(51.39*(D53*D$73-1.5)^1.05)," ")</f>
        <v> </v>
      </c>
      <c r="E54" s="158" t="str">
        <f>IF(E53&gt;58,TRUNC(0.84565*(E53*E$73-75)^1.42)," ")</f>
        <v> </v>
      </c>
      <c r="F54" s="158" t="str">
        <f>IF(F53=0," ",IF(F53&lt;96.35,TRUNC(1.53775*(82-F53*F$73)^1.81)," "))</f>
        <v> </v>
      </c>
      <c r="G54" s="158" t="str">
        <f>IF(G53=0," ",IF(G53&lt;28.5,TRUNC(5.74352*(28.5-G53*G$73)^1.92)," "))</f>
        <v> </v>
      </c>
      <c r="H54" s="158" t="str">
        <f>IF(H53&gt;4,TRUNC(12.91*(H53*H$73-4)^1.1)," ")</f>
        <v> </v>
      </c>
      <c r="I54" s="158" t="str">
        <f>IF(I53&gt;75,TRUNC(0.2797*(I53*I$73-100)^1.35)," ")</f>
        <v> </v>
      </c>
      <c r="J54" s="158" t="str">
        <f>IF(J53&gt;6,TRUNC(10.14*(J53*J$73-7)^1.08)," ")</f>
        <v> </v>
      </c>
      <c r="K54" s="170" t="str">
        <f>IF(K53=0," ",IF(K53&lt;580,TRUNC(0.03768*(480-K53*K$73)^1.85)," "))</f>
        <v> </v>
      </c>
      <c r="L54" s="173"/>
      <c r="M54" s="160">
        <f>SUM(B54:K54)</f>
        <v>0</v>
      </c>
      <c r="N54" s="195"/>
      <c r="O54" s="209">
        <f>MAX(B54:K54)</f>
        <v>0</v>
      </c>
      <c r="P54" s="168">
        <f>MAX(B54:C54,E54:K54)</f>
        <v>0</v>
      </c>
    </row>
    <row r="55" spans="3:9" ht="12.75">
      <c r="C55" s="23"/>
      <c r="D55" s="23"/>
      <c r="E55" s="23"/>
      <c r="F55" s="23"/>
      <c r="G55" s="23"/>
      <c r="H55" s="23"/>
      <c r="I55" s="23"/>
    </row>
    <row r="57" ht="26.25">
      <c r="A57" s="33" t="s">
        <v>74</v>
      </c>
    </row>
    <row r="58" ht="15.75">
      <c r="A58" s="114" t="s">
        <v>70</v>
      </c>
    </row>
    <row r="59" spans="2:14" ht="23.25" customHeight="1">
      <c r="B59" s="111" t="s">
        <v>50</v>
      </c>
      <c r="C59" s="112" t="s">
        <v>61</v>
      </c>
      <c r="D59" s="112" t="s">
        <v>62</v>
      </c>
      <c r="E59" s="112" t="s">
        <v>63</v>
      </c>
      <c r="F59" s="112" t="s">
        <v>6</v>
      </c>
      <c r="G59" s="112" t="s">
        <v>64</v>
      </c>
      <c r="H59" s="112" t="s">
        <v>65</v>
      </c>
      <c r="I59" s="112" t="s">
        <v>67</v>
      </c>
      <c r="J59" s="112" t="s">
        <v>66</v>
      </c>
      <c r="K59" s="113" t="s">
        <v>4</v>
      </c>
      <c r="L59" s="94"/>
      <c r="M59" s="118" t="s">
        <v>68</v>
      </c>
      <c r="N59" s="145"/>
    </row>
    <row r="60" spans="1:14" ht="33.75" customHeight="1">
      <c r="A60" s="6" t="s">
        <v>71</v>
      </c>
      <c r="B60" s="150">
        <v>12.82</v>
      </c>
      <c r="C60" s="151">
        <v>559</v>
      </c>
      <c r="D60" s="152">
        <v>10.24</v>
      </c>
      <c r="E60" s="151">
        <v>165</v>
      </c>
      <c r="F60" s="152">
        <v>57.55</v>
      </c>
      <c r="G60" s="152">
        <v>18.25</v>
      </c>
      <c r="H60" s="152">
        <v>31.8</v>
      </c>
      <c r="I60" s="151">
        <v>356</v>
      </c>
      <c r="J60" s="152">
        <v>44</v>
      </c>
      <c r="K60" s="153">
        <v>310.7</v>
      </c>
      <c r="L60" s="35"/>
      <c r="M60" s="74"/>
      <c r="N60" s="201"/>
    </row>
    <row r="61" spans="1:14" ht="26.25" customHeight="1">
      <c r="A61" s="6" t="s">
        <v>72</v>
      </c>
      <c r="B61" s="105">
        <f>IF(B60=0," ",IF(B60&lt;18,TRUNC(25.4347*(18-B60)^1.81)," "))</f>
        <v>499</v>
      </c>
      <c r="C61" s="107">
        <f>IF(C60&gt;220,TRUNC(0.14354*(C60-220)^1.4)," ")</f>
        <v>500</v>
      </c>
      <c r="D61" s="107">
        <f>IF(D60&gt;1.5,TRUNC(51.39*(D60-1.5)^1.05)," ")</f>
        <v>500</v>
      </c>
      <c r="E61" s="107">
        <f>IF(E60&gt;75,TRUNC(0.84565*(E60-75)^1.42)," ")</f>
        <v>503</v>
      </c>
      <c r="F61" s="107">
        <f>IF(F60=0," ",IF(F60&lt;82,TRUNC(1.53775*(82-F60)^1.81)," "))</f>
        <v>500</v>
      </c>
      <c r="G61" s="107">
        <f>IF(G60=0," ",IF(G60&lt;28.5,TRUNC(5.74352*(28.5-G60)^1.92)," "))</f>
        <v>500</v>
      </c>
      <c r="H61" s="107">
        <f>IF(H60&gt;4,TRUNC(12.91*(H60-4)^1.1)," ")</f>
        <v>500</v>
      </c>
      <c r="I61" s="107">
        <f>IF(I60&gt;100,TRUNC(0.2797*(I60-100)^1.35)," ")</f>
        <v>498</v>
      </c>
      <c r="J61" s="107">
        <f>IF(J60&gt;7,TRUNC(10.14*(J60-7)^1.08)," ")</f>
        <v>500</v>
      </c>
      <c r="K61" s="109">
        <f>IF(K60=0," ",IF(K60&lt;480,TRUNC(0.03768*(480-K60)^1.85)," "))</f>
        <v>500</v>
      </c>
      <c r="M61" s="123">
        <f>SUM(B61:K61)</f>
        <v>5000</v>
      </c>
      <c r="N61" s="200"/>
    </row>
    <row r="62" spans="1:14" ht="26.25" customHeight="1">
      <c r="A62" s="114" t="s">
        <v>73</v>
      </c>
      <c r="B62" s="116" t="s">
        <v>75</v>
      </c>
      <c r="C62" s="4"/>
      <c r="D62" s="4"/>
      <c r="E62" s="4"/>
      <c r="F62" s="4"/>
      <c r="G62" s="115"/>
      <c r="H62" s="4"/>
      <c r="I62" s="4"/>
      <c r="J62" s="4"/>
      <c r="K62" s="88"/>
      <c r="M62" s="123"/>
      <c r="N62" s="200"/>
    </row>
    <row r="63" spans="1:15" s="6" customFormat="1" ht="21.75" customHeight="1">
      <c r="A63" s="6" t="s">
        <v>71</v>
      </c>
      <c r="B63" s="101">
        <v>11.33</v>
      </c>
      <c r="C63" s="102">
        <v>679</v>
      </c>
      <c r="D63" s="102">
        <v>17.5</v>
      </c>
      <c r="E63" s="102">
        <v>190</v>
      </c>
      <c r="F63" s="102">
        <v>51</v>
      </c>
      <c r="G63" s="102">
        <v>13.13</v>
      </c>
      <c r="H63" s="102">
        <v>57.95</v>
      </c>
      <c r="I63" s="102">
        <v>410</v>
      </c>
      <c r="J63" s="102">
        <v>60.5</v>
      </c>
      <c r="K63" s="103">
        <v>248.9</v>
      </c>
      <c r="L63" s="100"/>
      <c r="M63" s="120"/>
      <c r="N63" s="130"/>
      <c r="O63" s="208"/>
    </row>
    <row r="64" spans="1:15" s="45" customFormat="1" ht="15.75">
      <c r="A64" s="45" t="s">
        <v>72</v>
      </c>
      <c r="B64" s="105">
        <f>TRUNC(4.99087*(42.5-B63*2)^1.81)</f>
        <v>1113</v>
      </c>
      <c r="C64" s="106">
        <f>TRUNC(0.188807*(C63-210)^1.41)</f>
        <v>1102</v>
      </c>
      <c r="D64" s="106">
        <f>TRUNC(56.0211*(D63-1.5)^1.05)</f>
        <v>1029</v>
      </c>
      <c r="E64" s="106">
        <f>TRUNC(1.84523*(E63-75)^1.348)</f>
        <v>1106</v>
      </c>
      <c r="F64" s="106">
        <f>TRUNC(0.11193*(254-F63*2.4)^1.88)</f>
        <v>1079</v>
      </c>
      <c r="G64" s="106">
        <f>TRUNC(9.23076*(26.7-G63)^1.835)</f>
        <v>1105</v>
      </c>
      <c r="H64" s="107">
        <f>TRUNC(12.91*(H63*H$77-4)^1.1)</f>
        <v>1159</v>
      </c>
      <c r="I64" s="107">
        <f>TRUNC(0.2797*(I63*I$77-100)^1.35)</f>
        <v>1096</v>
      </c>
      <c r="J64" s="106">
        <f>TRUNC(15.9803*(J63-3.8)^1.04)</f>
        <v>1064</v>
      </c>
      <c r="K64" s="108">
        <f>TRUNC(0.11193*(254-K63*0.5)^1.88)</f>
        <v>1047</v>
      </c>
      <c r="M64" s="121">
        <f>SUM(B64:K64)</f>
        <v>10900</v>
      </c>
      <c r="N64" s="202"/>
      <c r="O64" s="106"/>
    </row>
    <row r="65" spans="1:14" ht="47.25" customHeight="1">
      <c r="A65" s="110" t="s">
        <v>69</v>
      </c>
      <c r="B65" s="22"/>
      <c r="C65" s="23"/>
      <c r="D65" s="100"/>
      <c r="E65" s="19"/>
      <c r="F65" s="19"/>
      <c r="G65" s="19" t="s">
        <v>27</v>
      </c>
      <c r="H65" s="19"/>
      <c r="I65" s="19"/>
      <c r="J65" s="19"/>
      <c r="K65" s="20"/>
      <c r="M65" s="123"/>
      <c r="N65" s="200"/>
    </row>
    <row r="66" spans="1:14" ht="18">
      <c r="A66" s="21"/>
      <c r="B66" s="22"/>
      <c r="C66" s="23"/>
      <c r="D66" s="23" t="s">
        <v>12</v>
      </c>
      <c r="E66" s="23"/>
      <c r="F66" s="23"/>
      <c r="G66" s="23" t="s">
        <v>24</v>
      </c>
      <c r="H66" s="23" t="s">
        <v>15</v>
      </c>
      <c r="I66" s="23"/>
      <c r="J66" s="23" t="s">
        <v>17</v>
      </c>
      <c r="K66" s="24"/>
      <c r="M66" s="123"/>
      <c r="N66" s="200"/>
    </row>
    <row r="67" spans="1:14" ht="18">
      <c r="A67" s="21"/>
      <c r="B67" s="22"/>
      <c r="C67" s="23"/>
      <c r="D67" s="25" t="s">
        <v>13</v>
      </c>
      <c r="E67" s="23"/>
      <c r="F67" s="23"/>
      <c r="G67" s="23" t="s">
        <v>25</v>
      </c>
      <c r="H67" s="23" t="s">
        <v>16</v>
      </c>
      <c r="I67" s="23"/>
      <c r="J67" s="23" t="s">
        <v>18</v>
      </c>
      <c r="K67" s="24"/>
      <c r="M67" s="123"/>
      <c r="N67" s="200"/>
    </row>
    <row r="68" spans="1:14" ht="18">
      <c r="A68" s="21"/>
      <c r="B68" s="22"/>
      <c r="C68" s="23"/>
      <c r="D68" s="23" t="s">
        <v>14</v>
      </c>
      <c r="E68" s="23"/>
      <c r="F68" s="23"/>
      <c r="G68" s="25" t="s">
        <v>26</v>
      </c>
      <c r="H68" s="23"/>
      <c r="I68" s="23"/>
      <c r="J68" s="23" t="s">
        <v>19</v>
      </c>
      <c r="K68" s="24"/>
      <c r="M68" s="123"/>
      <c r="N68" s="200"/>
    </row>
    <row r="69" spans="1:14" ht="18">
      <c r="A69" s="26"/>
      <c r="B69" s="13"/>
      <c r="C69" s="27"/>
      <c r="D69" s="27"/>
      <c r="E69" s="27"/>
      <c r="F69" s="27"/>
      <c r="G69" s="27"/>
      <c r="H69" s="27"/>
      <c r="I69" s="27"/>
      <c r="J69" s="27" t="s">
        <v>20</v>
      </c>
      <c r="K69" s="28"/>
      <c r="M69" s="123"/>
      <c r="N69" s="200"/>
    </row>
    <row r="70" spans="1:11" ht="32.25" customHeight="1">
      <c r="A70" s="34" t="s">
        <v>141</v>
      </c>
      <c r="B70" s="31"/>
      <c r="C70" s="4"/>
      <c r="D70" s="4"/>
      <c r="E70" s="4"/>
      <c r="F70" s="4"/>
      <c r="G70" s="4"/>
      <c r="H70" s="4"/>
      <c r="I70" s="4"/>
      <c r="J70" s="4"/>
      <c r="K70" s="16"/>
    </row>
    <row r="71" spans="1:15" s="7" customFormat="1" ht="18">
      <c r="A71" s="92" t="s">
        <v>76</v>
      </c>
      <c r="B71" s="142" t="s">
        <v>50</v>
      </c>
      <c r="C71" s="143" t="s">
        <v>61</v>
      </c>
      <c r="D71" s="143" t="s">
        <v>62</v>
      </c>
      <c r="E71" s="143" t="s">
        <v>63</v>
      </c>
      <c r="F71" s="143" t="s">
        <v>6</v>
      </c>
      <c r="G71" s="143" t="s">
        <v>64</v>
      </c>
      <c r="H71" s="143" t="s">
        <v>65</v>
      </c>
      <c r="I71" s="143" t="s">
        <v>67</v>
      </c>
      <c r="J71" s="143" t="s">
        <v>66</v>
      </c>
      <c r="K71" s="144" t="s">
        <v>4</v>
      </c>
      <c r="N71" s="92"/>
      <c r="O71" s="92"/>
    </row>
    <row r="72" spans="2:11" ht="12.75"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9.5" customHeight="1">
      <c r="A73" s="92">
        <v>35</v>
      </c>
      <c r="B73" s="228">
        <v>0.9893</v>
      </c>
      <c r="C73" s="228">
        <v>1.051</v>
      </c>
      <c r="D73" s="228">
        <v>1</v>
      </c>
      <c r="E73" s="228">
        <v>1.0546</v>
      </c>
      <c r="F73" s="228">
        <v>0.9702</v>
      </c>
      <c r="G73" s="229">
        <v>0.9999</v>
      </c>
      <c r="H73" s="228">
        <v>1</v>
      </c>
      <c r="I73" s="228">
        <v>1.039</v>
      </c>
      <c r="J73" s="228">
        <v>1.0434</v>
      </c>
      <c r="K73" s="228">
        <v>0.9872</v>
      </c>
    </row>
    <row r="74" spans="1:14" ht="19.5" customHeight="1">
      <c r="A74" s="92">
        <v>40</v>
      </c>
      <c r="B74" s="228">
        <v>0.9545</v>
      </c>
      <c r="C74" s="228">
        <v>1.1112</v>
      </c>
      <c r="D74" s="228">
        <v>1.0271</v>
      </c>
      <c r="E74" s="228">
        <v>1.1059</v>
      </c>
      <c r="F74" s="228">
        <v>0.935</v>
      </c>
      <c r="G74" s="229">
        <v>0.9562</v>
      </c>
      <c r="H74" s="228">
        <v>1</v>
      </c>
      <c r="I74" s="228">
        <v>1.1046</v>
      </c>
      <c r="J74" s="228">
        <v>1.1283</v>
      </c>
      <c r="K74" s="228">
        <v>0.9387</v>
      </c>
      <c r="M74" s="125"/>
      <c r="N74" s="203"/>
    </row>
    <row r="75" spans="1:11" ht="19.5" customHeight="1">
      <c r="A75" s="92">
        <v>45</v>
      </c>
      <c r="B75" s="228">
        <v>0.922</v>
      </c>
      <c r="C75" s="228">
        <v>1.1787</v>
      </c>
      <c r="D75" s="228">
        <v>1.1131</v>
      </c>
      <c r="E75" s="228">
        <v>1.1624</v>
      </c>
      <c r="F75" s="228">
        <v>0.9023</v>
      </c>
      <c r="G75" s="229">
        <v>0.9168</v>
      </c>
      <c r="H75" s="228">
        <v>1.0499</v>
      </c>
      <c r="I75" s="228">
        <v>1.1791</v>
      </c>
      <c r="J75" s="228">
        <v>1.2283</v>
      </c>
      <c r="K75" s="228">
        <v>0.8947</v>
      </c>
    </row>
    <row r="76" spans="1:11" ht="19.5" customHeight="1">
      <c r="A76" s="92">
        <v>50</v>
      </c>
      <c r="B76" s="228">
        <v>0.8917</v>
      </c>
      <c r="C76" s="228">
        <v>1.2549</v>
      </c>
      <c r="D76" s="228">
        <v>1.1468</v>
      </c>
      <c r="E76" s="228">
        <v>1.225</v>
      </c>
      <c r="F76" s="228">
        <v>0.8718</v>
      </c>
      <c r="G76" s="229">
        <v>0.9745</v>
      </c>
      <c r="H76" s="228">
        <v>1</v>
      </c>
      <c r="I76" s="228">
        <v>1.2643</v>
      </c>
      <c r="J76" s="228">
        <v>1.279</v>
      </c>
      <c r="K76" s="228">
        <v>0.8547</v>
      </c>
    </row>
    <row r="77" spans="1:11" ht="19.5" customHeight="1">
      <c r="A77" s="92">
        <v>55</v>
      </c>
      <c r="B77" s="228">
        <v>0.8633</v>
      </c>
      <c r="C77" s="228">
        <v>1.3417</v>
      </c>
      <c r="D77" s="228">
        <v>1.2736</v>
      </c>
      <c r="E77" s="228">
        <v>1.2947</v>
      </c>
      <c r="F77" s="228">
        <v>0.8433</v>
      </c>
      <c r="G77" s="229">
        <v>0.9085</v>
      </c>
      <c r="H77" s="228">
        <v>1.0984</v>
      </c>
      <c r="I77" s="228">
        <v>1.3628</v>
      </c>
      <c r="J77" s="228">
        <v>1.4059</v>
      </c>
      <c r="K77" s="228">
        <v>0.8181</v>
      </c>
    </row>
    <row r="78" spans="1:11" ht="19.5" customHeight="1">
      <c r="A78" s="92">
        <v>60</v>
      </c>
      <c r="B78" s="228">
        <v>0.8367</v>
      </c>
      <c r="C78" s="228">
        <v>1.4414</v>
      </c>
      <c r="D78" s="228">
        <v>1.2703</v>
      </c>
      <c r="E78" s="228">
        <v>1.3728</v>
      </c>
      <c r="F78" s="228">
        <v>0.8166</v>
      </c>
      <c r="G78" s="229">
        <v>0.9017</v>
      </c>
      <c r="H78" s="228">
        <v>1.1232</v>
      </c>
      <c r="I78" s="228">
        <v>1.478</v>
      </c>
      <c r="J78" s="228">
        <v>1.4804</v>
      </c>
      <c r="K78" s="228">
        <v>0.7845</v>
      </c>
    </row>
    <row r="79" spans="1:11" ht="19.5" customHeight="1">
      <c r="A79" s="92">
        <v>65</v>
      </c>
      <c r="B79" s="228">
        <v>0.8117</v>
      </c>
      <c r="C79" s="228">
        <v>1.557</v>
      </c>
      <c r="D79" s="228">
        <v>1.4719</v>
      </c>
      <c r="E79" s="228">
        <v>1.461</v>
      </c>
      <c r="F79" s="228">
        <v>0.7916</v>
      </c>
      <c r="G79" s="229">
        <v>0.8326</v>
      </c>
      <c r="H79" s="228">
        <v>1.2514</v>
      </c>
      <c r="I79" s="228">
        <v>1.6144</v>
      </c>
      <c r="J79" s="228">
        <v>1.6496</v>
      </c>
      <c r="K79" s="228">
        <v>0.7536</v>
      </c>
    </row>
    <row r="80" spans="1:14" ht="19.5" customHeight="1">
      <c r="A80" s="92">
        <v>70</v>
      </c>
      <c r="B80" s="228">
        <v>0.7881</v>
      </c>
      <c r="C80" s="228">
        <v>1.6929</v>
      </c>
      <c r="D80" s="228">
        <v>1.3017</v>
      </c>
      <c r="E80" s="228">
        <v>1.5613</v>
      </c>
      <c r="F80" s="228">
        <v>0.7319</v>
      </c>
      <c r="G80" s="229">
        <v>0.9938</v>
      </c>
      <c r="H80" s="228">
        <v>1.4127</v>
      </c>
      <c r="I80" s="228">
        <v>1.7786</v>
      </c>
      <c r="J80" s="228">
        <v>1.7461</v>
      </c>
      <c r="K80" s="228">
        <v>0.723</v>
      </c>
      <c r="M80" s="126"/>
      <c r="N80" s="201"/>
    </row>
    <row r="81" spans="1:11" ht="19.5" customHeight="1">
      <c r="A81" s="92">
        <v>75</v>
      </c>
      <c r="B81" s="228">
        <v>0.7417</v>
      </c>
      <c r="C81" s="228">
        <v>1.8546</v>
      </c>
      <c r="D81" s="228">
        <v>1.5043</v>
      </c>
      <c r="E81" s="228">
        <v>1.6763</v>
      </c>
      <c r="F81" s="228">
        <v>0.6643</v>
      </c>
      <c r="G81" s="229">
        <v>0.9437</v>
      </c>
      <c r="H81" s="228">
        <v>1.6217</v>
      </c>
      <c r="I81" s="228">
        <v>1.98</v>
      </c>
      <c r="J81" s="228">
        <v>2.0098</v>
      </c>
      <c r="K81" s="228">
        <v>0.6686</v>
      </c>
    </row>
    <row r="82" spans="1:11" ht="19.5" customHeight="1">
      <c r="A82" s="92">
        <v>80</v>
      </c>
      <c r="B82" s="228">
        <v>0.6894</v>
      </c>
      <c r="C82" s="228">
        <v>2.0506</v>
      </c>
      <c r="D82" s="228">
        <v>1.7816</v>
      </c>
      <c r="E82" s="228">
        <v>1.8097</v>
      </c>
      <c r="F82" s="228">
        <v>0.6082</v>
      </c>
      <c r="G82" s="229">
        <v>0.8607</v>
      </c>
      <c r="H82" s="228">
        <v>1.9033</v>
      </c>
      <c r="I82" s="228">
        <v>2.2327</v>
      </c>
      <c r="J82" s="228">
        <v>2.0612</v>
      </c>
      <c r="K82" s="228">
        <v>0.6236</v>
      </c>
    </row>
    <row r="83" spans="1:11" ht="19.5" customHeight="1">
      <c r="A83" s="92">
        <v>85</v>
      </c>
      <c r="B83" s="228">
        <v>0.6316</v>
      </c>
      <c r="C83" s="228">
        <v>2.3553</v>
      </c>
      <c r="D83" s="228">
        <v>2.1843</v>
      </c>
      <c r="E83" s="228">
        <v>1.966</v>
      </c>
      <c r="F83" s="228">
        <v>0.5266</v>
      </c>
      <c r="G83" s="229">
        <v>0.7377</v>
      </c>
      <c r="H83" s="228">
        <v>2.3034</v>
      </c>
      <c r="I83" s="228">
        <v>2.5595</v>
      </c>
      <c r="J83" s="228">
        <v>2.6164</v>
      </c>
      <c r="K83" s="228">
        <v>0.5483</v>
      </c>
    </row>
    <row r="84" spans="1:11" ht="19.5" customHeight="1">
      <c r="A84" s="92">
        <v>90</v>
      </c>
      <c r="B84" s="228">
        <v>0.5759</v>
      </c>
      <c r="C84" s="228">
        <v>3.0442</v>
      </c>
      <c r="D84" s="228">
        <v>2.8222</v>
      </c>
      <c r="E84" s="228">
        <v>2.2072</v>
      </c>
      <c r="F84" s="228">
        <v>0.4362</v>
      </c>
      <c r="G84" s="229">
        <v>0.6148</v>
      </c>
      <c r="H84" s="228">
        <v>2.9162</v>
      </c>
      <c r="I84" s="228">
        <v>3.07</v>
      </c>
      <c r="J84" s="228">
        <v>3.5811</v>
      </c>
      <c r="K84" s="228">
        <v>0.4416</v>
      </c>
    </row>
    <row r="85" spans="1:11" ht="19.5" customHeight="1">
      <c r="A85" s="92">
        <v>95</v>
      </c>
      <c r="B85" s="228">
        <v>0.4925</v>
      </c>
      <c r="C85" s="228">
        <v>4.6134</v>
      </c>
      <c r="D85" s="228">
        <v>3.9862</v>
      </c>
      <c r="E85" s="228">
        <v>2.663</v>
      </c>
      <c r="F85" s="228">
        <v>0.3185</v>
      </c>
      <c r="G85" s="229">
        <v>0.4781</v>
      </c>
      <c r="H85" s="228">
        <v>3.9735</v>
      </c>
      <c r="I85" s="228">
        <v>4.0933</v>
      </c>
      <c r="J85" s="228">
        <v>5.6724</v>
      </c>
      <c r="K85" s="228">
        <v>0.3179</v>
      </c>
    </row>
    <row r="86" spans="1:11" ht="19.5" customHeight="1">
      <c r="A86" s="92" t="s">
        <v>2</v>
      </c>
      <c r="B86" s="228">
        <v>0.2417</v>
      </c>
      <c r="C86" s="228">
        <v>11.9333</v>
      </c>
      <c r="D86" s="228">
        <v>6.7847</v>
      </c>
      <c r="E86" s="228">
        <v>3.5</v>
      </c>
      <c r="F86" s="228">
        <v>0.2417</v>
      </c>
      <c r="G86" s="229">
        <v>0.3228</v>
      </c>
      <c r="H86" s="228">
        <v>6.2333</v>
      </c>
      <c r="I86" s="228">
        <v>6.14</v>
      </c>
      <c r="J86" s="228">
        <v>13.6357</v>
      </c>
      <c r="K86" s="228">
        <v>0.2417</v>
      </c>
    </row>
    <row r="87" spans="1:11" ht="12.75">
      <c r="A87" s="8"/>
      <c r="B87" s="97"/>
      <c r="C87" s="93"/>
      <c r="D87" s="93"/>
      <c r="E87" s="93"/>
      <c r="F87" s="93"/>
      <c r="G87" s="98"/>
      <c r="H87" s="93"/>
      <c r="I87" s="93"/>
      <c r="J87" s="93"/>
      <c r="K87" s="93"/>
    </row>
    <row r="88" spans="1:11" ht="26.25">
      <c r="A88" s="99" t="s">
        <v>102</v>
      </c>
      <c r="B88" s="97"/>
      <c r="C88" s="93"/>
      <c r="D88" s="93"/>
      <c r="E88" s="93"/>
      <c r="F88" s="93"/>
      <c r="G88" s="98"/>
      <c r="H88" s="93"/>
      <c r="I88" s="93"/>
      <c r="J88" s="93"/>
      <c r="K88" s="93"/>
    </row>
    <row r="89" spans="2:11" ht="18">
      <c r="B89" s="111" t="s">
        <v>50</v>
      </c>
      <c r="C89" s="112" t="s">
        <v>61</v>
      </c>
      <c r="D89" s="112" t="s">
        <v>62</v>
      </c>
      <c r="E89" s="112" t="s">
        <v>63</v>
      </c>
      <c r="F89" s="112" t="s">
        <v>6</v>
      </c>
      <c r="G89" s="112" t="s">
        <v>64</v>
      </c>
      <c r="H89" s="112" t="s">
        <v>65</v>
      </c>
      <c r="I89" s="112" t="s">
        <v>67</v>
      </c>
      <c r="J89" s="112" t="s">
        <v>66</v>
      </c>
      <c r="K89" s="113" t="s">
        <v>4</v>
      </c>
    </row>
    <row r="90" spans="1:11" ht="15">
      <c r="A90" s="6" t="s">
        <v>51</v>
      </c>
      <c r="B90" s="30">
        <v>12.82</v>
      </c>
      <c r="C90" s="3">
        <v>559</v>
      </c>
      <c r="D90" s="2">
        <v>10.24</v>
      </c>
      <c r="E90" s="3">
        <v>165</v>
      </c>
      <c r="F90" s="2">
        <v>57.55</v>
      </c>
      <c r="G90" s="2">
        <v>18.25</v>
      </c>
      <c r="H90" s="2">
        <v>31.8</v>
      </c>
      <c r="I90" s="3">
        <v>356</v>
      </c>
      <c r="J90" s="2">
        <v>44</v>
      </c>
      <c r="K90" s="15">
        <v>310.7</v>
      </c>
    </row>
    <row r="91" spans="1:13" ht="15">
      <c r="A91" s="6" t="s">
        <v>52</v>
      </c>
      <c r="B91" s="31">
        <f>TRUNC(25.4347*(18-B90*B$73)^1.81)</f>
        <v>523</v>
      </c>
      <c r="C91" s="4">
        <f>TRUNC(0.14354*(C90*C$73-220)^1.4)</f>
        <v>560</v>
      </c>
      <c r="D91" s="4">
        <f>TRUNC(51.39*(D90*D$73-1.5)^1.05)</f>
        <v>500</v>
      </c>
      <c r="E91" s="4">
        <f>TRUNC(0.84565*(E90*E$73-75)^1.42)</f>
        <v>576</v>
      </c>
      <c r="F91" s="4">
        <f>TRUNC(1.53775*(82-F90*F$73)^1.81)</f>
        <v>566</v>
      </c>
      <c r="G91" s="4">
        <f>TRUNC(5.74352*(28.5-G90*G$73)^1.92)</f>
        <v>501</v>
      </c>
      <c r="H91" s="4">
        <f>TRUNC(12.91*(H90*H$73-4)^1.1)</f>
        <v>500</v>
      </c>
      <c r="I91" s="4">
        <f>TRUNC(0.2797*(I90*I$73-100)^1.35)</f>
        <v>535</v>
      </c>
      <c r="J91" s="4">
        <f>TRUNC(10.14*(J90*J$73-7)^1.08)</f>
        <v>528</v>
      </c>
      <c r="K91" s="16">
        <f>TRUNC(0.03768*(480-K90*K$73)^1.85)</f>
        <v>522</v>
      </c>
      <c r="M91" s="227">
        <f>SUM(B91:L91)</f>
        <v>5311</v>
      </c>
    </row>
    <row r="92" spans="1:11" ht="15">
      <c r="A92" s="6" t="s">
        <v>51</v>
      </c>
      <c r="B92" s="30">
        <v>12.82</v>
      </c>
      <c r="C92" s="3">
        <v>559</v>
      </c>
      <c r="D92" s="2">
        <v>10.24</v>
      </c>
      <c r="E92" s="3">
        <v>165</v>
      </c>
      <c r="F92" s="2">
        <v>57.55</v>
      </c>
      <c r="G92" s="2">
        <v>18.25</v>
      </c>
      <c r="H92" s="2">
        <v>31.8</v>
      </c>
      <c r="I92" s="3">
        <v>356</v>
      </c>
      <c r="J92" s="2">
        <v>44</v>
      </c>
      <c r="K92" s="15">
        <v>310.7</v>
      </c>
    </row>
    <row r="93" spans="1:13" ht="15">
      <c r="A93" s="6" t="s">
        <v>53</v>
      </c>
      <c r="B93" s="31">
        <f>TRUNC(25.4347*(18-B92*B$74)^1.81)</f>
        <v>605</v>
      </c>
      <c r="C93" s="4">
        <f>TRUNC(0.14354*(C92*C$74-220)^1.4)</f>
        <v>633</v>
      </c>
      <c r="D93" s="4">
        <f>TRUNC(51.39*(D92*D$74-1.5)^1.05)</f>
        <v>517</v>
      </c>
      <c r="E93" s="4">
        <f>TRUNC(0.84565*(E92*E$74-75)^1.42)</f>
        <v>648</v>
      </c>
      <c r="F93" s="4">
        <f>TRUNC(1.53775*(82-F92*F$74)^1.81)</f>
        <v>648</v>
      </c>
      <c r="G93" s="4">
        <f>TRUNC(5.74352*(28.5-G92*G$74)^1.92)</f>
        <v>578</v>
      </c>
      <c r="H93" s="4">
        <f>TRUNC(12.91*(H92*H$74-4)^1.1)</f>
        <v>500</v>
      </c>
      <c r="I93" s="4">
        <f>TRUNC(0.2797*(I92*I$74-100)^1.35)</f>
        <v>599</v>
      </c>
      <c r="J93" s="4">
        <f>TRUNC(10.14*(J92*J$74-7)^1.08)</f>
        <v>583</v>
      </c>
      <c r="K93" s="16">
        <f>TRUNC(0.03768*(480-K92*K$74)^1.85)</f>
        <v>609</v>
      </c>
      <c r="M93" s="227">
        <f>SUM(B93:L93)</f>
        <v>5920</v>
      </c>
    </row>
    <row r="94" spans="1:11" ht="15">
      <c r="A94" s="6" t="s">
        <v>51</v>
      </c>
      <c r="B94" s="30">
        <v>12.82</v>
      </c>
      <c r="C94" s="3">
        <v>559</v>
      </c>
      <c r="D94" s="2">
        <v>10.24</v>
      </c>
      <c r="E94" s="3">
        <v>165</v>
      </c>
      <c r="F94" s="2">
        <v>57.55</v>
      </c>
      <c r="G94" s="2">
        <v>18.25</v>
      </c>
      <c r="H94" s="2">
        <v>31.8</v>
      </c>
      <c r="I94" s="3">
        <v>356</v>
      </c>
      <c r="J94" s="2">
        <v>44</v>
      </c>
      <c r="K94" s="15">
        <v>310.7</v>
      </c>
    </row>
    <row r="95" spans="1:13" ht="15">
      <c r="A95" s="6" t="s">
        <v>54</v>
      </c>
      <c r="B95" s="31">
        <f>TRUNC(25.4347*(18-B94*B$75)^1.81)</f>
        <v>687</v>
      </c>
      <c r="C95" s="4">
        <f>TRUNC(0.14354*(C94*C$75-220)^1.4)</f>
        <v>718</v>
      </c>
      <c r="D95" s="4">
        <f>TRUNC(51.39*(D94*D$75-1.5)^1.05)</f>
        <v>570</v>
      </c>
      <c r="E95" s="4">
        <f>TRUNC(0.84565*(E94*E$75-75)^1.42)</f>
        <v>729</v>
      </c>
      <c r="F95" s="4">
        <f>TRUNC(1.53775*(82-F94*F$75)^1.81)</f>
        <v>728</v>
      </c>
      <c r="G95" s="4">
        <f>TRUNC(5.74352*(28.5-G94*G$75)^1.92)</f>
        <v>653</v>
      </c>
      <c r="H95" s="4">
        <f>TRUNC(12.91*(H94*H$75-4)^1.1)</f>
        <v>531</v>
      </c>
      <c r="I95" s="4">
        <f>TRUNC(0.2797*(I94*I$75-100)^1.35)</f>
        <v>673</v>
      </c>
      <c r="J95" s="4">
        <f>TRUNC(10.14*(J94*J$75-7)^1.08)</f>
        <v>649</v>
      </c>
      <c r="K95" s="16">
        <f>TRUNC(0.03768*(480-K94*K$75)^1.85)</f>
        <v>693</v>
      </c>
      <c r="M95" s="227">
        <f>SUM(B95:L95)</f>
        <v>6631</v>
      </c>
    </row>
    <row r="96" spans="1:11" ht="15">
      <c r="A96" s="6" t="s">
        <v>51</v>
      </c>
      <c r="B96" s="30">
        <v>12.82</v>
      </c>
      <c r="C96" s="3">
        <v>559</v>
      </c>
      <c r="D96" s="2">
        <v>10.24</v>
      </c>
      <c r="E96" s="3">
        <v>165</v>
      </c>
      <c r="F96" s="2">
        <v>57.55</v>
      </c>
      <c r="G96" s="2">
        <v>18.25</v>
      </c>
      <c r="H96" s="2">
        <v>31.8</v>
      </c>
      <c r="I96" s="3">
        <v>356</v>
      </c>
      <c r="J96" s="2">
        <v>44</v>
      </c>
      <c r="K96" s="15">
        <v>310.7</v>
      </c>
    </row>
    <row r="97" spans="1:13" ht="15">
      <c r="A97" s="6" t="s">
        <v>55</v>
      </c>
      <c r="B97" s="31">
        <f>TRUNC(25.4347*(18-B96*B$76)^1.81)</f>
        <v>767</v>
      </c>
      <c r="C97" s="4">
        <f>TRUNC(0.14354*(C96*C$76-220)^1.4)</f>
        <v>817</v>
      </c>
      <c r="D97" s="4">
        <f>TRUNC(51.39*(D96*D$76-1.5)^1.05)</f>
        <v>591</v>
      </c>
      <c r="E97" s="4">
        <f>TRUNC(0.84565*(E96*E$76-75)^1.42)</f>
        <v>822</v>
      </c>
      <c r="F97" s="4">
        <f>TRUNC(1.53775*(82-F96*F$76)^1.81)</f>
        <v>807</v>
      </c>
      <c r="G97" s="4">
        <f>TRUNC(5.74352*(28.5-G96*G$76)^1.92)</f>
        <v>545</v>
      </c>
      <c r="H97" s="4">
        <f>TRUNC(12.91*(H96*H$76-4)^1.1)</f>
        <v>500</v>
      </c>
      <c r="I97" s="4">
        <f>TRUNC(0.2797*(I96*I$76-100)^1.35)</f>
        <v>760</v>
      </c>
      <c r="J97" s="4">
        <f>TRUNC(10.14*(J96*J$76-7)^1.08)</f>
        <v>682</v>
      </c>
      <c r="K97" s="16">
        <f>TRUNC(0.03768*(480-K96*K$76)^1.85)</f>
        <v>774</v>
      </c>
      <c r="M97" s="227">
        <f>SUM(B97:L97)</f>
        <v>7065</v>
      </c>
    </row>
    <row r="98" spans="1:11" ht="15">
      <c r="A98" s="6" t="s">
        <v>51</v>
      </c>
      <c r="B98" s="30">
        <v>12.82</v>
      </c>
      <c r="C98" s="3">
        <v>559</v>
      </c>
      <c r="D98" s="2">
        <v>10.24</v>
      </c>
      <c r="E98" s="3">
        <v>165</v>
      </c>
      <c r="F98" s="2">
        <v>57.55</v>
      </c>
      <c r="G98" s="2">
        <v>18.25</v>
      </c>
      <c r="H98" s="2">
        <v>31.8</v>
      </c>
      <c r="I98" s="3">
        <v>356</v>
      </c>
      <c r="J98" s="2">
        <v>44</v>
      </c>
      <c r="K98" s="15">
        <v>310.7</v>
      </c>
    </row>
    <row r="99" spans="1:13" ht="15">
      <c r="A99" s="6" t="s">
        <v>56</v>
      </c>
      <c r="B99" s="31">
        <f>TRUNC(25.4347*(18-B98*B$77)^1.81)</f>
        <v>846</v>
      </c>
      <c r="C99" s="4">
        <f>TRUNC(0.14354*(C98*C$77-220)^1.4)</f>
        <v>935</v>
      </c>
      <c r="D99" s="4">
        <f>TRUNC(51.39*(D98*D$77-1.5)^1.05)</f>
        <v>670</v>
      </c>
      <c r="E99" s="4">
        <f>TRUNC(0.84565*(E98*E$77-75)^1.42)</f>
        <v>930</v>
      </c>
      <c r="F99" s="4">
        <f>TRUNC(1.53775*(82-F98*F$77)^1.81)</f>
        <v>884</v>
      </c>
      <c r="G99" s="4">
        <f>TRUNC(5.74352*(28.5-G98*G$77)^1.92)</f>
        <v>669</v>
      </c>
      <c r="H99" s="4">
        <f>TRUNC(12.91*(H98*H$77-4)^1.1)</f>
        <v>562</v>
      </c>
      <c r="I99" s="4">
        <f>TRUNC(0.2797*(I98*I$77-100)^1.35)</f>
        <v>865</v>
      </c>
      <c r="J99" s="4">
        <f>TRUNC(10.14*(J98*J$77-7)^1.08)</f>
        <v>766</v>
      </c>
      <c r="K99" s="16">
        <f>TRUNC(0.03768*(480-K98*K$77)^1.85)</f>
        <v>852</v>
      </c>
      <c r="M99" s="227">
        <f>SUM(B99:L99)</f>
        <v>7979</v>
      </c>
    </row>
    <row r="100" spans="1:11" ht="15">
      <c r="A100" s="6"/>
      <c r="B100" s="31"/>
      <c r="C100" s="4"/>
      <c r="D100" s="4"/>
      <c r="E100" s="4"/>
      <c r="F100" s="4"/>
      <c r="G100" s="4"/>
      <c r="H100" s="4"/>
      <c r="I100" s="4"/>
      <c r="J100" s="4"/>
      <c r="K100" s="88"/>
    </row>
    <row r="101" spans="1:11" ht="12.75">
      <c r="A101" s="8"/>
      <c r="B101" s="97"/>
      <c r="C101" s="93"/>
      <c r="D101" s="93"/>
      <c r="E101" s="93"/>
      <c r="F101" s="93"/>
      <c r="G101" s="98"/>
      <c r="H101" s="93"/>
      <c r="I101" s="93"/>
      <c r="J101" s="93"/>
      <c r="K101" s="93"/>
    </row>
    <row r="102" spans="1:11" ht="12.75">
      <c r="A102" s="117" t="s">
        <v>100</v>
      </c>
      <c r="B102" s="97"/>
      <c r="C102" s="93"/>
      <c r="D102" s="93"/>
      <c r="E102" s="93"/>
      <c r="F102" s="93"/>
      <c r="G102" s="98"/>
      <c r="H102" s="93"/>
      <c r="I102" s="93"/>
      <c r="J102" s="93"/>
      <c r="K102" s="93"/>
    </row>
    <row r="103" spans="2:11" ht="12.75">
      <c r="B103" s="32"/>
      <c r="C103" s="10"/>
      <c r="D103" s="9"/>
      <c r="E103" s="10"/>
      <c r="F103" s="9"/>
      <c r="G103" s="11"/>
      <c r="H103" s="9"/>
      <c r="I103" s="10"/>
      <c r="J103" s="9"/>
      <c r="K103" s="9"/>
    </row>
    <row r="104" spans="2:14" ht="33" customHeight="1">
      <c r="B104" s="111" t="s">
        <v>50</v>
      </c>
      <c r="C104" s="112" t="s">
        <v>61</v>
      </c>
      <c r="D104" s="112" t="s">
        <v>62</v>
      </c>
      <c r="E104" s="112" t="s">
        <v>63</v>
      </c>
      <c r="F104" s="112" t="s">
        <v>6</v>
      </c>
      <c r="G104" s="112" t="s">
        <v>64</v>
      </c>
      <c r="H104" s="112" t="s">
        <v>65</v>
      </c>
      <c r="I104" s="112" t="s">
        <v>67</v>
      </c>
      <c r="J104" s="112" t="s">
        <v>66</v>
      </c>
      <c r="K104" s="113" t="s">
        <v>4</v>
      </c>
      <c r="M104" s="125" t="s">
        <v>68</v>
      </c>
      <c r="N104" s="203"/>
    </row>
    <row r="105" spans="1:14" ht="33.75" customHeight="1">
      <c r="A105" s="6" t="s">
        <v>77</v>
      </c>
      <c r="B105" s="30">
        <v>9.69</v>
      </c>
      <c r="C105" s="3">
        <v>895</v>
      </c>
      <c r="D105" s="2">
        <v>23.1</v>
      </c>
      <c r="E105" s="3">
        <v>245</v>
      </c>
      <c r="F105" s="2">
        <v>43.1</v>
      </c>
      <c r="G105" s="2">
        <v>12.87</v>
      </c>
      <c r="H105" s="2">
        <v>74.08</v>
      </c>
      <c r="I105" s="3">
        <v>614</v>
      </c>
      <c r="J105" s="2">
        <v>98.65</v>
      </c>
      <c r="K105" s="15">
        <v>206</v>
      </c>
      <c r="L105" s="35"/>
      <c r="M105" s="74"/>
      <c r="N105" s="201"/>
    </row>
    <row r="106" spans="1:15" s="27" customFormat="1" ht="26.25" customHeight="1">
      <c r="A106" s="45" t="s">
        <v>72</v>
      </c>
      <c r="B106" s="214">
        <f>TRUNC(25.4347*(18-B105)^1.81)</f>
        <v>1174</v>
      </c>
      <c r="C106" s="215">
        <f>TRUNC(0.14354*(C105-220)^1.4)</f>
        <v>1312</v>
      </c>
      <c r="D106" s="215">
        <f>TRUNC(51.39*(D105-1.5)^1.05)</f>
        <v>1294</v>
      </c>
      <c r="E106" s="215">
        <f>TRUNC(0.84565*(E105-75)^1.42)</f>
        <v>1242</v>
      </c>
      <c r="F106" s="215">
        <f>TRUNC(1.53775*(82-F105)^1.81)</f>
        <v>1160</v>
      </c>
      <c r="G106" s="215">
        <f>TRUNC(5.74352*(28.5-G105)^1.92)</f>
        <v>1126</v>
      </c>
      <c r="H106" s="215">
        <f>TRUNC(12.91*(H105-4)^1.1)</f>
        <v>1383</v>
      </c>
      <c r="I106" s="215">
        <f>TRUNC(0.2797*(I105-100)^1.35)</f>
        <v>1277</v>
      </c>
      <c r="J106" s="215">
        <f>TRUNC(10.14*(J105-7)^1.08)</f>
        <v>1333</v>
      </c>
      <c r="K106" s="216">
        <f>TRUNC(0.03768*(480-K105)^1.85)</f>
        <v>1218</v>
      </c>
      <c r="M106" s="217">
        <f>SUM(B106:K106)</f>
        <v>12519</v>
      </c>
      <c r="N106" s="218"/>
      <c r="O106" s="219"/>
    </row>
    <row r="107" spans="1:14" ht="33.75" customHeight="1">
      <c r="A107" s="6" t="s">
        <v>78</v>
      </c>
      <c r="B107" s="30">
        <v>10.39</v>
      </c>
      <c r="C107" s="3">
        <v>776</v>
      </c>
      <c r="D107" s="58">
        <v>18.4</v>
      </c>
      <c r="E107" s="3">
        <v>221</v>
      </c>
      <c r="F107" s="2">
        <v>46.17</v>
      </c>
      <c r="G107" s="2">
        <v>13.8</v>
      </c>
      <c r="H107" s="2">
        <v>56.2</v>
      </c>
      <c r="I107" s="3">
        <v>529</v>
      </c>
      <c r="J107" s="2">
        <v>77.2</v>
      </c>
      <c r="K107" s="15">
        <v>233.7</v>
      </c>
      <c r="L107" s="35"/>
      <c r="M107" s="74"/>
      <c r="N107" s="201"/>
    </row>
    <row r="108" spans="1:15" s="27" customFormat="1" ht="26.25" customHeight="1">
      <c r="A108" s="45" t="s">
        <v>72</v>
      </c>
      <c r="B108" s="214">
        <f>TRUNC(25.4347*(18-B107)^1.81)</f>
        <v>1001</v>
      </c>
      <c r="C108" s="215">
        <f>TRUNC(0.14354*(C107-220)^1.4)</f>
        <v>1000</v>
      </c>
      <c r="D108" s="215">
        <f>TRUNC(51.39*(D107-1.5)^1.05)</f>
        <v>1000</v>
      </c>
      <c r="E108" s="215">
        <f>TRUNC(0.84565*(E107-75)^1.42)</f>
        <v>1001</v>
      </c>
      <c r="F108" s="215">
        <f>TRUNC(1.53775*(82-F107)^1.81)</f>
        <v>1000</v>
      </c>
      <c r="G108" s="215">
        <f>TRUNC(5.74352*(28.5-G107)^1.92)</f>
        <v>1000</v>
      </c>
      <c r="H108" s="215">
        <f>TRUNC(12.91*(H107-4)^1.1)</f>
        <v>1000</v>
      </c>
      <c r="I108" s="215">
        <f>TRUNC(0.2797*(I107-100)^1.35)</f>
        <v>1001</v>
      </c>
      <c r="J108" s="215">
        <f>TRUNC(10.14*(J107-7)^1.08)</f>
        <v>1000</v>
      </c>
      <c r="K108" s="216">
        <f>TRUNC(0.03768*(480-K107)^1.85)</f>
        <v>1000</v>
      </c>
      <c r="M108" s="217">
        <f>SUM(B108:K108)</f>
        <v>10003</v>
      </c>
      <c r="N108" s="218"/>
      <c r="O108" s="219"/>
    </row>
    <row r="109" spans="1:14" ht="33.75" customHeight="1">
      <c r="A109" s="6" t="s">
        <v>79</v>
      </c>
      <c r="B109" s="30">
        <v>10.83</v>
      </c>
      <c r="C109" s="3">
        <v>736</v>
      </c>
      <c r="D109" s="2">
        <v>16.79</v>
      </c>
      <c r="E109" s="3">
        <v>211</v>
      </c>
      <c r="F109" s="2">
        <v>48.18</v>
      </c>
      <c r="G109" s="2">
        <v>14.59</v>
      </c>
      <c r="H109" s="2">
        <v>51.43</v>
      </c>
      <c r="I109" s="3">
        <v>496</v>
      </c>
      <c r="J109" s="2">
        <v>70.7</v>
      </c>
      <c r="K109" s="15">
        <v>247.4</v>
      </c>
      <c r="L109" s="35"/>
      <c r="M109" s="74"/>
      <c r="N109" s="201"/>
    </row>
    <row r="110" spans="1:15" s="27" customFormat="1" ht="26.25" customHeight="1">
      <c r="A110" s="45" t="s">
        <v>72</v>
      </c>
      <c r="B110" s="214">
        <f>TRUNC(25.4347*(18-B109)^1.81)</f>
        <v>899</v>
      </c>
      <c r="C110" s="215">
        <f>TRUNC(0.14354*(C109-220)^1.4)</f>
        <v>900</v>
      </c>
      <c r="D110" s="215">
        <f>TRUNC(51.39*(D109-1.5)^1.05)</f>
        <v>900</v>
      </c>
      <c r="E110" s="215">
        <f>TRUNC(0.84565*(E109-75)^1.42)</f>
        <v>905</v>
      </c>
      <c r="F110" s="215">
        <f>TRUNC(1.53775*(82-F109)^1.81)</f>
        <v>900</v>
      </c>
      <c r="G110" s="215">
        <f>TRUNC(5.74352*(28.5-G109)^1.92)</f>
        <v>900</v>
      </c>
      <c r="H110" s="215">
        <f>TRUNC(12.91*(H109-4)^1.1)</f>
        <v>900</v>
      </c>
      <c r="I110" s="215">
        <f>TRUNC(0.2797*(I109-100)^1.35)</f>
        <v>898</v>
      </c>
      <c r="J110" s="215">
        <f>TRUNC(10.14*(J109-7)^1.08)</f>
        <v>900</v>
      </c>
      <c r="K110" s="216">
        <f>TRUNC(0.03768*(480-K109)^1.85)</f>
        <v>900</v>
      </c>
      <c r="M110" s="217">
        <f>SUM(B110:K110)</f>
        <v>9002</v>
      </c>
      <c r="N110" s="218"/>
      <c r="O110" s="219"/>
    </row>
    <row r="111" spans="1:15" s="23" customFormat="1" ht="26.25" customHeight="1">
      <c r="A111" s="100" t="s">
        <v>103</v>
      </c>
      <c r="B111" s="220">
        <v>11.27</v>
      </c>
      <c r="C111" s="88">
        <v>694</v>
      </c>
      <c r="D111" s="221">
        <v>15.17</v>
      </c>
      <c r="E111" s="88">
        <v>200</v>
      </c>
      <c r="F111" s="221">
        <v>50.32</v>
      </c>
      <c r="G111" s="221">
        <v>15.41</v>
      </c>
      <c r="H111" s="221">
        <v>46.6</v>
      </c>
      <c r="I111" s="88">
        <v>463</v>
      </c>
      <c r="J111" s="221">
        <v>64.1</v>
      </c>
      <c r="K111" s="222">
        <v>261.7</v>
      </c>
      <c r="M111" s="122"/>
      <c r="N111" s="199"/>
      <c r="O111" s="94"/>
    </row>
    <row r="112" spans="1:15" s="23" customFormat="1" ht="26.25" customHeight="1">
      <c r="A112" s="45" t="s">
        <v>72</v>
      </c>
      <c r="B112" s="214">
        <f>TRUNC(25.4347*(18-B111)^1.81)</f>
        <v>801</v>
      </c>
      <c r="C112" s="215">
        <f>TRUNC(0.14354*(C111-220)^1.4)</f>
        <v>799</v>
      </c>
      <c r="D112" s="215">
        <f>TRUNC(51.39*(D111-1.5)^1.05)</f>
        <v>800</v>
      </c>
      <c r="E112" s="215">
        <f>TRUNC(0.84565*(E111-75)^1.42)</f>
        <v>803</v>
      </c>
      <c r="F112" s="215">
        <f>TRUNC(1.53775*(82-F111)^1.81)</f>
        <v>800</v>
      </c>
      <c r="G112" s="215">
        <f>TRUNC(5.74352*(28.5-G111)^1.92)</f>
        <v>801</v>
      </c>
      <c r="H112" s="215">
        <f>TRUNC(12.91*(H111-4)^1.1)</f>
        <v>800</v>
      </c>
      <c r="I112" s="215">
        <f>TRUNC(0.2797*(I111-100)^1.35)</f>
        <v>799</v>
      </c>
      <c r="J112" s="215">
        <f>TRUNC(10.14*(J111-7)^1.08)</f>
        <v>800</v>
      </c>
      <c r="K112" s="216">
        <f>TRUNC(0.03768*(480-K111)^1.85)</f>
        <v>800</v>
      </c>
      <c r="L112" s="27"/>
      <c r="M112" s="217">
        <f>SUM(B112:K112)</f>
        <v>8003</v>
      </c>
      <c r="N112" s="199"/>
      <c r="O112" s="94"/>
    </row>
    <row r="113" spans="1:14" ht="33.75" customHeight="1">
      <c r="A113" s="6" t="s">
        <v>101</v>
      </c>
      <c r="B113" s="240">
        <v>12.816</v>
      </c>
      <c r="C113" s="3">
        <v>559</v>
      </c>
      <c r="D113" s="2">
        <v>10.24</v>
      </c>
      <c r="E113" s="239">
        <v>164.6</v>
      </c>
      <c r="F113" s="2">
        <v>57.55</v>
      </c>
      <c r="G113" s="2">
        <v>18.25</v>
      </c>
      <c r="H113" s="2">
        <v>31.8</v>
      </c>
      <c r="I113" s="239">
        <v>356.6</v>
      </c>
      <c r="J113" s="2">
        <v>44</v>
      </c>
      <c r="K113" s="15">
        <v>310.7</v>
      </c>
      <c r="L113" s="35"/>
      <c r="M113" s="74"/>
      <c r="N113" s="201"/>
    </row>
    <row r="114" spans="1:14" ht="26.25" customHeight="1" thickBot="1">
      <c r="A114" s="64" t="s">
        <v>72</v>
      </c>
      <c r="B114" s="65">
        <f>TRUNC(25.4347*(18-B113)^1.81)</f>
        <v>500</v>
      </c>
      <c r="C114" s="66">
        <f>TRUNC(0.14354*(C113-220)^1.4)</f>
        <v>500</v>
      </c>
      <c r="D114" s="66">
        <f>TRUNC(51.39*(D113-1.5)^1.05)</f>
        <v>500</v>
      </c>
      <c r="E114" s="66">
        <f>TRUNC(0.84565*(E113-75)^1.42)</f>
        <v>500</v>
      </c>
      <c r="F114" s="66">
        <f>TRUNC(1.53775*(82-F113)^1.81)</f>
        <v>500</v>
      </c>
      <c r="G114" s="66">
        <f>TRUNC(5.74352*(28.5-G113)^1.92)</f>
        <v>500</v>
      </c>
      <c r="H114" s="66">
        <f>TRUNC(12.91*(H113-4)^1.1)</f>
        <v>500</v>
      </c>
      <c r="I114" s="66">
        <f>TRUNC(0.2797*(I113-100)^1.35)</f>
        <v>500</v>
      </c>
      <c r="J114" s="66">
        <f>TRUNC(10.14*(J113-7)^1.08)</f>
        <v>500</v>
      </c>
      <c r="K114" s="67">
        <f>TRUNC(0.03768*(480-K113)^1.85)</f>
        <v>500</v>
      </c>
      <c r="L114" s="68"/>
      <c r="M114" s="128">
        <f>SUM(B114:K114)</f>
        <v>5000</v>
      </c>
      <c r="N114" s="199"/>
    </row>
    <row r="115" spans="1:15" s="7" customFormat="1" ht="33.75" customHeight="1">
      <c r="A115" s="7" t="s">
        <v>80</v>
      </c>
      <c r="B115" s="70">
        <v>17.76</v>
      </c>
      <c r="C115" s="4">
        <v>225</v>
      </c>
      <c r="D115" s="71">
        <v>1.53</v>
      </c>
      <c r="E115" s="4">
        <v>77</v>
      </c>
      <c r="F115" s="71">
        <v>81.21</v>
      </c>
      <c r="G115" s="71">
        <v>28</v>
      </c>
      <c r="H115" s="71">
        <v>4.1</v>
      </c>
      <c r="I115" s="4">
        <v>103</v>
      </c>
      <c r="J115" s="71">
        <v>7.2</v>
      </c>
      <c r="K115" s="72">
        <v>474.11</v>
      </c>
      <c r="L115" s="73"/>
      <c r="M115" s="74"/>
      <c r="N115" s="201"/>
      <c r="O115" s="92"/>
    </row>
    <row r="116" spans="1:15" s="68" customFormat="1" ht="26.25" customHeight="1" thickBot="1">
      <c r="A116" s="64" t="s">
        <v>142</v>
      </c>
      <c r="B116" s="65">
        <f>TRUNC(25.4347*(18-B115)^1.81)</f>
        <v>1</v>
      </c>
      <c r="C116" s="66">
        <f>TRUNC(0.14354*(C115-220)^1.4)</f>
        <v>1</v>
      </c>
      <c r="D116" s="66">
        <f>TRUNC(51.39*(D115-1.5)^1.05)</f>
        <v>1</v>
      </c>
      <c r="E116" s="66">
        <f>TRUNC(0.84565*(E115-75)^1.42)</f>
        <v>2</v>
      </c>
      <c r="F116" s="66">
        <f>TRUNC(1.53775*(82-F115)^1.81)</f>
        <v>1</v>
      </c>
      <c r="G116" s="66">
        <f>TRUNC(5.74352*(28.5-G115)^1.92)</f>
        <v>1</v>
      </c>
      <c r="H116" s="66">
        <f>TRUNC(12.91*(H115-4)^1.1)</f>
        <v>1</v>
      </c>
      <c r="I116" s="66">
        <f>TRUNC(0.2797*(I115-100)^1.35)</f>
        <v>1</v>
      </c>
      <c r="J116" s="66">
        <f>TRUNC(10.14*(J115-7)^1.08)</f>
        <v>1</v>
      </c>
      <c r="K116" s="67">
        <f>TRUNC(0.03768*(480-K115)^1.85)</f>
        <v>1</v>
      </c>
      <c r="M116" s="128">
        <f>SUM(B116:K116)</f>
        <v>11</v>
      </c>
      <c r="N116" s="205"/>
      <c r="O116" s="212"/>
    </row>
    <row r="117" ht="33.75" customHeight="1">
      <c r="A117" s="36"/>
    </row>
    <row r="118" spans="2:14" ht="32.25" customHeight="1">
      <c r="B118" s="111" t="s">
        <v>50</v>
      </c>
      <c r="C118" s="112" t="s">
        <v>61</v>
      </c>
      <c r="D118" s="112" t="s">
        <v>62</v>
      </c>
      <c r="E118" s="112" t="s">
        <v>63</v>
      </c>
      <c r="F118" s="112" t="s">
        <v>6</v>
      </c>
      <c r="G118" s="112" t="s">
        <v>64</v>
      </c>
      <c r="H118" s="112" t="s">
        <v>65</v>
      </c>
      <c r="I118" s="112" t="s">
        <v>67</v>
      </c>
      <c r="J118" s="112" t="s">
        <v>66</v>
      </c>
      <c r="K118" s="113" t="s">
        <v>4</v>
      </c>
      <c r="M118" s="125" t="s">
        <v>3</v>
      </c>
      <c r="N118" s="203"/>
    </row>
    <row r="119" spans="1:14" ht="18">
      <c r="A119" t="s">
        <v>81</v>
      </c>
      <c r="B119" s="44">
        <v>14.4</v>
      </c>
      <c r="C119" s="42">
        <v>423</v>
      </c>
      <c r="D119" s="41">
        <v>8</v>
      </c>
      <c r="E119" s="42">
        <v>130</v>
      </c>
      <c r="F119" s="41">
        <v>69.9</v>
      </c>
      <c r="G119" s="41">
        <v>19.72</v>
      </c>
      <c r="H119" s="41">
        <v>21</v>
      </c>
      <c r="I119" s="42">
        <v>250</v>
      </c>
      <c r="J119" s="41">
        <v>29</v>
      </c>
      <c r="K119" s="41">
        <v>343.7</v>
      </c>
      <c r="L119" s="56"/>
      <c r="M119" s="125"/>
      <c r="N119" s="203"/>
    </row>
    <row r="120" spans="1:14" ht="18">
      <c r="A120" t="s">
        <v>82</v>
      </c>
      <c r="B120" s="37">
        <v>0.8633</v>
      </c>
      <c r="C120" s="37">
        <v>1.3417</v>
      </c>
      <c r="D120" s="37">
        <v>1.2736</v>
      </c>
      <c r="E120" s="37">
        <v>1.2947</v>
      </c>
      <c r="F120" s="37">
        <v>0.8433</v>
      </c>
      <c r="G120" s="38">
        <v>0.9085</v>
      </c>
      <c r="H120" s="37">
        <v>1.0984</v>
      </c>
      <c r="I120" s="37">
        <v>1.3628</v>
      </c>
      <c r="J120" s="37">
        <v>1.4059</v>
      </c>
      <c r="K120" s="37">
        <v>0.8181</v>
      </c>
      <c r="M120" s="125"/>
      <c r="N120" s="203"/>
    </row>
    <row r="121" spans="1:14" ht="15">
      <c r="A121" s="45" t="s">
        <v>85</v>
      </c>
      <c r="B121" s="46">
        <f>B120*B119</f>
        <v>12.431519999999999</v>
      </c>
      <c r="C121" s="48">
        <f aca="true" t="shared" si="0" ref="C121:K121">C120*C119</f>
        <v>567.5391</v>
      </c>
      <c r="D121" s="47">
        <f t="shared" si="0"/>
        <v>10.1888</v>
      </c>
      <c r="E121" s="48">
        <f t="shared" si="0"/>
        <v>168.311</v>
      </c>
      <c r="F121" s="51">
        <f t="shared" si="0"/>
        <v>58.94667000000001</v>
      </c>
      <c r="G121" s="47">
        <f t="shared" si="0"/>
        <v>17.915619999999997</v>
      </c>
      <c r="H121" s="47">
        <f t="shared" si="0"/>
        <v>23.0664</v>
      </c>
      <c r="I121" s="50">
        <f t="shared" si="0"/>
        <v>340.7</v>
      </c>
      <c r="J121" s="47">
        <f t="shared" si="0"/>
        <v>40.7711</v>
      </c>
      <c r="K121" s="47">
        <f t="shared" si="0"/>
        <v>281.18097</v>
      </c>
      <c r="L121" s="49"/>
      <c r="M121" s="74"/>
      <c r="N121" s="201"/>
    </row>
    <row r="122" spans="1:15" s="62" customFormat="1" ht="18.75" thickBot="1">
      <c r="A122" s="59" t="s">
        <v>8</v>
      </c>
      <c r="B122" s="60">
        <f>TRUNC(25.4347*(18-B121)^1.81)</f>
        <v>569</v>
      </c>
      <c r="C122" s="61">
        <f>TRUNC(0.14354*(C121-220)^1.4)</f>
        <v>518</v>
      </c>
      <c r="D122" s="61">
        <f>TRUNC(51.39*(D121-1.5)^1.05)</f>
        <v>497</v>
      </c>
      <c r="E122" s="61">
        <f>TRUNC(0.84565*(E121-75)^1.42)</f>
        <v>530</v>
      </c>
      <c r="F122" s="61">
        <f>TRUNC(1.53775*(82-F121)^1.81)</f>
        <v>450</v>
      </c>
      <c r="G122" s="61">
        <f>TRUNC(5.74352*(28.5-G121)^1.92)</f>
        <v>532</v>
      </c>
      <c r="H122" s="61">
        <f>TRUNC(12.91*(H121-4)^1.1)</f>
        <v>330</v>
      </c>
      <c r="I122" s="61">
        <f>TRUNC(0.2797*(I121-100)^1.35)</f>
        <v>458</v>
      </c>
      <c r="J122" s="61">
        <f>TRUNC(10.14*(J121-7)^1.08)</f>
        <v>453</v>
      </c>
      <c r="K122" s="61">
        <f>TRUNC(0.03768*(480-K121)^1.85)</f>
        <v>673</v>
      </c>
      <c r="M122" s="127">
        <f>SUM(B122:K122)</f>
        <v>5010</v>
      </c>
      <c r="N122" s="204"/>
      <c r="O122" s="211"/>
    </row>
    <row r="123" spans="1:14" ht="18.75" thickTop="1">
      <c r="A123" t="s">
        <v>83</v>
      </c>
      <c r="B123" s="44">
        <v>20.6</v>
      </c>
      <c r="C123" s="42">
        <v>167</v>
      </c>
      <c r="D123" s="41">
        <v>1.21</v>
      </c>
      <c r="E123" s="42">
        <v>59</v>
      </c>
      <c r="F123" s="41">
        <v>96</v>
      </c>
      <c r="G123" s="41">
        <v>30.8</v>
      </c>
      <c r="H123" s="41">
        <v>3.74</v>
      </c>
      <c r="I123" s="42">
        <v>76</v>
      </c>
      <c r="J123" s="41">
        <v>5.1</v>
      </c>
      <c r="K123" s="41">
        <v>579.53</v>
      </c>
      <c r="L123" s="56"/>
      <c r="M123" s="125"/>
      <c r="N123" s="203"/>
    </row>
    <row r="124" spans="1:14" ht="18">
      <c r="A124" t="s">
        <v>30</v>
      </c>
      <c r="B124" s="37">
        <v>0.8633</v>
      </c>
      <c r="C124" s="37">
        <v>1.3417</v>
      </c>
      <c r="D124" s="37">
        <v>1.2736</v>
      </c>
      <c r="E124" s="37">
        <v>1.2947</v>
      </c>
      <c r="F124" s="37">
        <v>0.8433</v>
      </c>
      <c r="G124" s="38">
        <v>0.9085</v>
      </c>
      <c r="H124" s="37">
        <v>1.0984</v>
      </c>
      <c r="I124" s="37">
        <v>1.3628</v>
      </c>
      <c r="J124" s="37">
        <v>1.4059</v>
      </c>
      <c r="K124" s="37">
        <v>0.8181</v>
      </c>
      <c r="M124" s="125"/>
      <c r="N124" s="203"/>
    </row>
    <row r="125" spans="1:14" ht="15">
      <c r="A125" s="45" t="s">
        <v>22</v>
      </c>
      <c r="B125" s="46">
        <f aca="true" t="shared" si="1" ref="B125:K125">B124*B123</f>
        <v>17.78398</v>
      </c>
      <c r="C125" s="48">
        <f t="shared" si="1"/>
        <v>224.0639</v>
      </c>
      <c r="D125" s="47">
        <f t="shared" si="1"/>
        <v>1.541056</v>
      </c>
      <c r="E125" s="48">
        <f t="shared" si="1"/>
        <v>76.3873</v>
      </c>
      <c r="F125" s="51">
        <f t="shared" si="1"/>
        <v>80.9568</v>
      </c>
      <c r="G125" s="47">
        <f t="shared" si="1"/>
        <v>27.9818</v>
      </c>
      <c r="H125" s="47">
        <f t="shared" si="1"/>
        <v>4.108016</v>
      </c>
      <c r="I125" s="50">
        <f t="shared" si="1"/>
        <v>103.5728</v>
      </c>
      <c r="J125" s="47">
        <f t="shared" si="1"/>
        <v>7.170089999999999</v>
      </c>
      <c r="K125" s="47">
        <f t="shared" si="1"/>
        <v>474.113493</v>
      </c>
      <c r="L125" s="49"/>
      <c r="M125" s="74"/>
      <c r="N125" s="201"/>
    </row>
    <row r="126" spans="1:14" ht="18">
      <c r="A126" s="6" t="s">
        <v>8</v>
      </c>
      <c r="B126" s="31">
        <f>TRUNC(25.4347*(18-B125)^1.81)</f>
        <v>1</v>
      </c>
      <c r="C126" s="39">
        <f>TRUNC(0.14354*(C125-220)^1.4)</f>
        <v>1</v>
      </c>
      <c r="D126" s="39">
        <f>TRUNC(51.39*(D125-1.5)^1.05)</f>
        <v>1</v>
      </c>
      <c r="E126" s="39">
        <f>TRUNC(0.84565*(E125-75)^1.42)</f>
        <v>1</v>
      </c>
      <c r="F126" s="39">
        <f>TRUNC(1.53775*(82-F125)^1.81)</f>
        <v>1</v>
      </c>
      <c r="G126" s="39">
        <f>TRUNC(5.74352*(28.5-G125)^1.92)</f>
        <v>1</v>
      </c>
      <c r="H126" s="39">
        <f>TRUNC(12.91*(H125-4)^1.1)</f>
        <v>1</v>
      </c>
      <c r="I126" s="39">
        <f>TRUNC(0.2797*(I125-100)^1.35)</f>
        <v>1</v>
      </c>
      <c r="J126" s="39">
        <f>TRUNC(10.14*(J125-7)^1.08)</f>
        <v>1</v>
      </c>
      <c r="K126" s="39">
        <f>TRUNC(0.03768*(480-K125)^1.85)</f>
        <v>1</v>
      </c>
      <c r="M126" s="123">
        <f>SUM(B126:K126)</f>
        <v>10</v>
      </c>
      <c r="N126" s="200"/>
    </row>
    <row r="127" spans="1:14" ht="18">
      <c r="A127" s="6"/>
      <c r="B127" s="87"/>
      <c r="C127" s="88"/>
      <c r="D127" s="88"/>
      <c r="E127" s="88"/>
      <c r="F127" s="88"/>
      <c r="G127" s="88"/>
      <c r="H127" s="88"/>
      <c r="I127" s="88"/>
      <c r="J127" s="88"/>
      <c r="K127" s="16"/>
      <c r="M127" s="123"/>
      <c r="N127" s="200"/>
    </row>
    <row r="128" spans="1:14" ht="18">
      <c r="A128" s="26"/>
      <c r="B128" s="13"/>
      <c r="C128" s="27"/>
      <c r="D128" s="27"/>
      <c r="E128" s="27"/>
      <c r="F128" s="27"/>
      <c r="G128" s="27"/>
      <c r="H128" s="27"/>
      <c r="I128" s="27"/>
      <c r="J128" s="27" t="s">
        <v>20</v>
      </c>
      <c r="K128" s="28"/>
      <c r="M128" s="123"/>
      <c r="N128" s="200"/>
    </row>
    <row r="129" spans="1:11" ht="32.25" customHeight="1">
      <c r="A129" s="34" t="s">
        <v>84</v>
      </c>
      <c r="B129" s="31"/>
      <c r="C129" s="4"/>
      <c r="D129" s="4"/>
      <c r="E129" s="4"/>
      <c r="F129" s="4"/>
      <c r="G129" s="4"/>
      <c r="H129" s="4"/>
      <c r="I129" s="4"/>
      <c r="J129" s="4"/>
      <c r="K129" s="16"/>
    </row>
    <row r="130" spans="2:11" ht="30.75" customHeight="1">
      <c r="B130" s="111" t="s">
        <v>50</v>
      </c>
      <c r="C130" s="112" t="s">
        <v>61</v>
      </c>
      <c r="D130" s="112" t="s">
        <v>62</v>
      </c>
      <c r="E130" s="112" t="s">
        <v>63</v>
      </c>
      <c r="F130" s="112" t="s">
        <v>6</v>
      </c>
      <c r="G130" s="112" t="s">
        <v>64</v>
      </c>
      <c r="H130" s="112" t="s">
        <v>65</v>
      </c>
      <c r="I130" s="112" t="s">
        <v>67</v>
      </c>
      <c r="J130" s="112" t="s">
        <v>66</v>
      </c>
      <c r="K130" s="113" t="s">
        <v>4</v>
      </c>
    </row>
    <row r="131" spans="1:11" ht="12.75">
      <c r="A131" s="8" t="s">
        <v>9</v>
      </c>
      <c r="B131" s="37" t="s">
        <v>10</v>
      </c>
      <c r="C131" s="37" t="s">
        <v>10</v>
      </c>
      <c r="D131" s="37" t="s">
        <v>10</v>
      </c>
      <c r="E131" s="37" t="s">
        <v>10</v>
      </c>
      <c r="F131" s="37" t="s">
        <v>10</v>
      </c>
      <c r="G131" s="37" t="s">
        <v>10</v>
      </c>
      <c r="H131" s="37" t="s">
        <v>10</v>
      </c>
      <c r="I131" s="37" t="s">
        <v>10</v>
      </c>
      <c r="J131" s="37" t="s">
        <v>10</v>
      </c>
      <c r="K131" s="37" t="s">
        <v>10</v>
      </c>
    </row>
    <row r="132" spans="1:11" ht="12.75">
      <c r="A132" s="13"/>
      <c r="B132" s="52" t="s">
        <v>23</v>
      </c>
      <c r="C132" s="52" t="s">
        <v>23</v>
      </c>
      <c r="D132" s="52" t="s">
        <v>23</v>
      </c>
      <c r="E132" s="52" t="s">
        <v>23</v>
      </c>
      <c r="F132" s="52" t="s">
        <v>23</v>
      </c>
      <c r="G132" s="52" t="s">
        <v>23</v>
      </c>
      <c r="H132" s="52" t="s">
        <v>23</v>
      </c>
      <c r="I132" s="52" t="s">
        <v>23</v>
      </c>
      <c r="J132" s="52" t="s">
        <v>23</v>
      </c>
      <c r="K132" s="52" t="s">
        <v>23</v>
      </c>
    </row>
    <row r="133" spans="1:11" ht="12.75">
      <c r="A133" s="7">
        <v>35</v>
      </c>
      <c r="B133" s="37">
        <v>0.9893</v>
      </c>
      <c r="C133" s="37">
        <v>1.051</v>
      </c>
      <c r="D133" s="37">
        <v>1</v>
      </c>
      <c r="E133" s="37">
        <v>1.0546</v>
      </c>
      <c r="F133" s="37">
        <v>0.9702</v>
      </c>
      <c r="G133" s="38">
        <v>0.9999</v>
      </c>
      <c r="H133" s="37">
        <v>1</v>
      </c>
      <c r="I133" s="37">
        <v>1.039</v>
      </c>
      <c r="J133" s="37">
        <v>1.0434</v>
      </c>
      <c r="K133" s="37">
        <v>0.9872</v>
      </c>
    </row>
    <row r="134" spans="1:14" ht="18" customHeight="1">
      <c r="A134" s="7"/>
      <c r="B134" s="53">
        <f>T100m/B133</f>
        <v>12.954614373799657</v>
      </c>
      <c r="C134" s="54">
        <f>TPituus/C133</f>
        <v>531.8744053282588</v>
      </c>
      <c r="D134" s="53">
        <f>TKuula/D133</f>
        <v>10.24</v>
      </c>
      <c r="E134" s="54">
        <f>TKorkeus/E133</f>
        <v>156.0781338896264</v>
      </c>
      <c r="F134" s="53">
        <f>T400m/F133</f>
        <v>59.317666460523604</v>
      </c>
      <c r="G134" s="55">
        <f>TAidat/G133</f>
        <v>18.251825182518253</v>
      </c>
      <c r="H134" s="53">
        <f>TKiekko/H133</f>
        <v>31.8</v>
      </c>
      <c r="I134" s="54">
        <f>TSeiväs/I133</f>
        <v>343.21462945139564</v>
      </c>
      <c r="J134" s="53">
        <f>TKeihäs/J133</f>
        <v>42.16982940387195</v>
      </c>
      <c r="K134" s="53">
        <f>T1500m/K133</f>
        <v>314.7285251215559</v>
      </c>
      <c r="M134" s="123"/>
      <c r="N134" s="200"/>
    </row>
    <row r="135" spans="1:14" ht="18">
      <c r="A135" s="7">
        <v>40</v>
      </c>
      <c r="B135" s="37">
        <v>0.9545</v>
      </c>
      <c r="C135" s="37">
        <v>1.1112</v>
      </c>
      <c r="D135" s="37">
        <v>1.0271</v>
      </c>
      <c r="E135" s="37">
        <v>1.1059</v>
      </c>
      <c r="F135" s="37">
        <v>0.935</v>
      </c>
      <c r="G135" s="38">
        <v>0.9562</v>
      </c>
      <c r="H135" s="37">
        <v>1</v>
      </c>
      <c r="I135" s="37">
        <v>1.1046</v>
      </c>
      <c r="J135" s="37">
        <v>1.1283</v>
      </c>
      <c r="K135" s="37">
        <v>0.9387</v>
      </c>
      <c r="M135" s="125" t="s">
        <v>3</v>
      </c>
      <c r="N135" s="203"/>
    </row>
    <row r="136" spans="1:11" ht="22.5" customHeight="1">
      <c r="A136" s="7"/>
      <c r="B136" s="53">
        <f>T100m/B135</f>
        <v>13.426925091671032</v>
      </c>
      <c r="C136" s="54">
        <f>TPituus/C135</f>
        <v>503.0597552195824</v>
      </c>
      <c r="D136" s="53">
        <f>TKuula/D135</f>
        <v>9.969817933988901</v>
      </c>
      <c r="E136" s="54">
        <f>TKorkeus/E135</f>
        <v>148.83805045664164</v>
      </c>
      <c r="F136" s="53">
        <f>T400m/F135</f>
        <v>61.55080213903743</v>
      </c>
      <c r="G136" s="55">
        <f>TAidat/G135</f>
        <v>19.085965279230287</v>
      </c>
      <c r="H136" s="53">
        <f>TKiekko/H135</f>
        <v>31.8</v>
      </c>
      <c r="I136" s="54">
        <f>TSeiväs/I135</f>
        <v>322.8317943146841</v>
      </c>
      <c r="J136" s="53">
        <f>TKeihäs/J135</f>
        <v>38.99672073030222</v>
      </c>
      <c r="K136" s="53">
        <f>T1500m/K135</f>
        <v>330.98966656013636</v>
      </c>
    </row>
    <row r="137" spans="1:11" ht="19.5" customHeight="1">
      <c r="A137" s="7">
        <v>45</v>
      </c>
      <c r="B137" s="37">
        <v>0.922</v>
      </c>
      <c r="C137" s="37">
        <v>1.1787</v>
      </c>
      <c r="D137" s="37">
        <v>1.1131</v>
      </c>
      <c r="E137" s="37">
        <v>1.1624</v>
      </c>
      <c r="F137" s="37">
        <v>0.9023</v>
      </c>
      <c r="G137" s="38">
        <v>0.9168</v>
      </c>
      <c r="H137" s="37">
        <v>1.0499</v>
      </c>
      <c r="I137" s="37">
        <v>1.1791</v>
      </c>
      <c r="J137" s="37">
        <v>1.2283</v>
      </c>
      <c r="K137" s="37">
        <v>0.8947</v>
      </c>
    </row>
    <row r="138" spans="1:11" ht="18" customHeight="1">
      <c r="A138" s="7"/>
      <c r="B138" s="53">
        <f>T100m/B137</f>
        <v>13.900216919739696</v>
      </c>
      <c r="C138" s="54">
        <f>TPituus/C137</f>
        <v>474.2512937982523</v>
      </c>
      <c r="D138" s="53">
        <f>TKuula/D137</f>
        <v>9.199532836223161</v>
      </c>
      <c r="E138" s="54">
        <f>TKorkeus/E137</f>
        <v>141.6035788024776</v>
      </c>
      <c r="F138" s="53">
        <f>T400m/F137</f>
        <v>63.7814474121689</v>
      </c>
      <c r="G138" s="55">
        <f>TAidat/G137</f>
        <v>19.906195462478188</v>
      </c>
      <c r="H138" s="53">
        <f>TKiekko/H137</f>
        <v>30.2885989141823</v>
      </c>
      <c r="I138" s="54">
        <f>TSeiväs/I137</f>
        <v>302.4340598761768</v>
      </c>
      <c r="J138" s="53">
        <f>TKeihäs/J137</f>
        <v>35.821867621916475</v>
      </c>
      <c r="K138" s="53">
        <f>T1500m/K137</f>
        <v>347.26724041578177</v>
      </c>
    </row>
    <row r="139" spans="1:11" ht="18" customHeight="1">
      <c r="A139" s="7">
        <v>50</v>
      </c>
      <c r="B139" s="37">
        <v>0.8917</v>
      </c>
      <c r="C139" s="37">
        <v>1.2549</v>
      </c>
      <c r="D139" s="37">
        <v>1.1468</v>
      </c>
      <c r="E139" s="37">
        <v>1.225</v>
      </c>
      <c r="F139" s="37">
        <v>0.8718</v>
      </c>
      <c r="G139" s="38">
        <v>0.9745</v>
      </c>
      <c r="H139" s="37">
        <v>1</v>
      </c>
      <c r="I139" s="37">
        <v>1.2643</v>
      </c>
      <c r="J139" s="37">
        <v>1.279</v>
      </c>
      <c r="K139" s="37">
        <v>0.8547</v>
      </c>
    </row>
    <row r="140" spans="1:11" ht="24" customHeight="1">
      <c r="A140" s="7"/>
      <c r="B140" s="53">
        <f>T100m/B139</f>
        <v>14.3725468206796</v>
      </c>
      <c r="C140" s="54">
        <f>TPituus/C139</f>
        <v>445.4538210215954</v>
      </c>
      <c r="D140" s="53">
        <f>TKuula/D139</f>
        <v>8.929194279734915</v>
      </c>
      <c r="E140" s="54">
        <f>TKorkeus/E139</f>
        <v>134.36734693877548</v>
      </c>
      <c r="F140" s="53">
        <f>T400m/F139</f>
        <v>66.01284698325304</v>
      </c>
      <c r="G140" s="55">
        <f>TAidat/G139</f>
        <v>18.727552591072346</v>
      </c>
      <c r="H140" s="53">
        <f>TKiekko/H139</f>
        <v>31.8</v>
      </c>
      <c r="I140" s="54">
        <f>TSeiväs/I139</f>
        <v>282.05331013208894</v>
      </c>
      <c r="J140" s="53">
        <f>TKeihäs/J139</f>
        <v>34.401876465989055</v>
      </c>
      <c r="K140" s="53">
        <f>T1500m/K139</f>
        <v>363.5193635193635</v>
      </c>
    </row>
    <row r="141" spans="1:11" ht="12.75">
      <c r="A141" s="7">
        <v>55</v>
      </c>
      <c r="B141" s="37">
        <v>0.8633</v>
      </c>
      <c r="C141" s="37">
        <v>1.3417</v>
      </c>
      <c r="D141" s="37">
        <v>1.2736</v>
      </c>
      <c r="E141" s="37">
        <v>1.2947</v>
      </c>
      <c r="F141" s="37">
        <v>0.8433</v>
      </c>
      <c r="G141" s="38">
        <v>0.9085</v>
      </c>
      <c r="H141" s="37">
        <v>1.0984</v>
      </c>
      <c r="I141" s="37">
        <v>1.3628</v>
      </c>
      <c r="J141" s="37">
        <v>1.4059</v>
      </c>
      <c r="K141" s="37">
        <v>0.8181</v>
      </c>
    </row>
    <row r="142" spans="1:11" ht="16.5" customHeight="1">
      <c r="A142" s="7"/>
      <c r="B142" s="53">
        <f>T100m/B141</f>
        <v>14.84536082474227</v>
      </c>
      <c r="C142" s="54">
        <f>TPituus/C141</f>
        <v>416.63561153760156</v>
      </c>
      <c r="D142" s="53">
        <f>TKuula/D141</f>
        <v>8.040201005025125</v>
      </c>
      <c r="E142" s="54">
        <f>TKorkeus/E141</f>
        <v>127.13369892639221</v>
      </c>
      <c r="F142" s="53">
        <f>T400m/F141</f>
        <v>68.24380410292896</v>
      </c>
      <c r="G142" s="55">
        <f>TAidat/G141</f>
        <v>20.088057237204183</v>
      </c>
      <c r="H142" s="53">
        <f>TKiekko/H141</f>
        <v>28.951201747997086</v>
      </c>
      <c r="I142" s="54">
        <f>TSeiväs/I141</f>
        <v>261.66715585559143</v>
      </c>
      <c r="J142" s="53">
        <f>TKeihäs/J141</f>
        <v>31.296678284373</v>
      </c>
      <c r="K142" s="53">
        <f>T1500m/K141</f>
        <v>379.78242268671306</v>
      </c>
    </row>
    <row r="143" spans="1:11" ht="12.75">
      <c r="A143" s="7">
        <v>60</v>
      </c>
      <c r="B143" s="37">
        <v>0.8367</v>
      </c>
      <c r="C143" s="37">
        <v>1.4414</v>
      </c>
      <c r="D143" s="37">
        <v>1.2703</v>
      </c>
      <c r="E143" s="37">
        <v>1.3728</v>
      </c>
      <c r="F143" s="37">
        <v>0.8166</v>
      </c>
      <c r="G143" s="38">
        <v>0.9017</v>
      </c>
      <c r="H143" s="37">
        <v>1.1232</v>
      </c>
      <c r="I143" s="37">
        <v>1.478</v>
      </c>
      <c r="J143" s="37">
        <v>1.4804</v>
      </c>
      <c r="K143" s="37">
        <v>0.7845</v>
      </c>
    </row>
    <row r="144" spans="1:11" ht="24" customHeight="1">
      <c r="A144" s="7"/>
      <c r="B144" s="53">
        <f>T100m/B143</f>
        <v>15.317318035138044</v>
      </c>
      <c r="C144" s="54">
        <f>TPituus/C143</f>
        <v>387.8173997502428</v>
      </c>
      <c r="D144" s="53">
        <f>TKuula/D143</f>
        <v>8.06108793198457</v>
      </c>
      <c r="E144" s="54">
        <f>TKorkeus/E143</f>
        <v>119.90093240093239</v>
      </c>
      <c r="F144" s="53">
        <f>T400m/F143</f>
        <v>70.47514082782267</v>
      </c>
      <c r="G144" s="55">
        <f>TAidat/G143</f>
        <v>20.239547521348566</v>
      </c>
      <c r="H144" s="53">
        <f>TKiekko/H143</f>
        <v>28.311965811965813</v>
      </c>
      <c r="I144" s="54">
        <f>TSeiväs/I143</f>
        <v>241.27198917456025</v>
      </c>
      <c r="J144" s="53">
        <f>TKeihäs/J143</f>
        <v>29.721696838692246</v>
      </c>
      <c r="K144" s="53">
        <f>T1500m/K143</f>
        <v>396.0484384958572</v>
      </c>
    </row>
    <row r="145" spans="1:11" ht="12.75">
      <c r="A145" s="7">
        <v>65</v>
      </c>
      <c r="B145" s="37">
        <v>0.8117</v>
      </c>
      <c r="C145" s="37">
        <v>1.557</v>
      </c>
      <c r="D145" s="37">
        <v>1.4719</v>
      </c>
      <c r="E145" s="37">
        <v>1.461</v>
      </c>
      <c r="F145" s="37">
        <v>0.7916</v>
      </c>
      <c r="G145" s="38">
        <v>0.8326</v>
      </c>
      <c r="H145" s="37">
        <v>1.2514</v>
      </c>
      <c r="I145" s="37">
        <v>1.6144</v>
      </c>
      <c r="J145" s="37">
        <v>1.6496</v>
      </c>
      <c r="K145" s="37">
        <v>0.7536</v>
      </c>
    </row>
    <row r="146" spans="1:11" ht="20.25" customHeight="1">
      <c r="A146" s="7"/>
      <c r="B146" s="53">
        <f>T100m/B145</f>
        <v>15.789084637181226</v>
      </c>
      <c r="C146" s="54">
        <f>TPituus/C145</f>
        <v>359.0237636480411</v>
      </c>
      <c r="D146" s="53">
        <f>TKuula/D145</f>
        <v>6.956994361029961</v>
      </c>
      <c r="E146" s="54">
        <f>TKorkeus/E145</f>
        <v>112.66255989048597</v>
      </c>
      <c r="F146" s="53">
        <f>T400m/F145</f>
        <v>72.70085901970693</v>
      </c>
      <c r="G146" s="55">
        <f>TAidat/G145</f>
        <v>21.91928897429738</v>
      </c>
      <c r="H146" s="53">
        <f>TKiekko/H145</f>
        <v>25.411539076234618</v>
      </c>
      <c r="I146" s="54">
        <f>TSeiväs/I145</f>
        <v>220.88701684836474</v>
      </c>
      <c r="J146" s="53">
        <f>TKeihäs/J145</f>
        <v>26.67313288069835</v>
      </c>
      <c r="K146" s="53">
        <f>T1500m/K145</f>
        <v>412.2876857749469</v>
      </c>
    </row>
    <row r="147" spans="1:14" ht="12.75">
      <c r="A147" s="7">
        <v>70</v>
      </c>
      <c r="B147" s="37">
        <v>0.7881</v>
      </c>
      <c r="C147" s="37">
        <v>1.6929</v>
      </c>
      <c r="D147" s="37">
        <v>1.3017</v>
      </c>
      <c r="E147" s="37">
        <v>1.5613</v>
      </c>
      <c r="F147" s="37">
        <v>0.7319</v>
      </c>
      <c r="G147" s="38">
        <v>0.9938</v>
      </c>
      <c r="H147" s="37">
        <v>1.4127</v>
      </c>
      <c r="I147" s="37">
        <v>1.7786</v>
      </c>
      <c r="J147" s="37">
        <v>1.7461</v>
      </c>
      <c r="K147" s="37">
        <v>0.723</v>
      </c>
      <c r="M147" s="126" t="s">
        <v>11</v>
      </c>
      <c r="N147" s="201"/>
    </row>
    <row r="148" spans="1:11" ht="18.75" customHeight="1">
      <c r="A148" s="7"/>
      <c r="B148" s="53">
        <f>T100m/B147</f>
        <v>16.261895698515417</v>
      </c>
      <c r="C148" s="54">
        <f>TPituus/C147</f>
        <v>330.20261090436526</v>
      </c>
      <c r="D148" s="53">
        <f>TKuula/D147</f>
        <v>7.866635937620035</v>
      </c>
      <c r="E148" s="54">
        <f>TKorkeus/E147</f>
        <v>105.42496637417537</v>
      </c>
      <c r="F148" s="53">
        <f>T400m/F147</f>
        <v>78.63096051373138</v>
      </c>
      <c r="G148" s="55">
        <f>TAidat/G147</f>
        <v>18.36385590662105</v>
      </c>
      <c r="H148" s="53">
        <f>TKiekko/H147</f>
        <v>22.5100870673179</v>
      </c>
      <c r="I148" s="54">
        <f>TSeiväs/I147</f>
        <v>200.49477116833467</v>
      </c>
      <c r="J148" s="53">
        <f>TKeihäs/J147</f>
        <v>25.199014947597504</v>
      </c>
      <c r="K148" s="53">
        <f>T1500m/K147</f>
        <v>429.7372060857538</v>
      </c>
    </row>
    <row r="149" spans="1:11" ht="12.75">
      <c r="A149" s="7">
        <v>75</v>
      </c>
      <c r="B149" s="37">
        <v>0.7417</v>
      </c>
      <c r="C149" s="37">
        <v>1.8546</v>
      </c>
      <c r="D149" s="37">
        <v>1.5043</v>
      </c>
      <c r="E149" s="37">
        <v>1.6763</v>
      </c>
      <c r="F149" s="37">
        <v>0.6643</v>
      </c>
      <c r="G149" s="38">
        <v>0.9437</v>
      </c>
      <c r="H149" s="37">
        <v>1.6217</v>
      </c>
      <c r="I149" s="37">
        <v>1.98</v>
      </c>
      <c r="J149" s="37">
        <v>2.0098</v>
      </c>
      <c r="K149" s="37">
        <v>0.6686</v>
      </c>
    </row>
    <row r="150" spans="1:11" ht="18.75" customHeight="1">
      <c r="A150" s="7"/>
      <c r="B150" s="53">
        <f>T100m/B149</f>
        <v>17.27922340568963</v>
      </c>
      <c r="C150" s="54">
        <f>TPituus/C149</f>
        <v>301.4127035479349</v>
      </c>
      <c r="D150" s="53">
        <f>TKuula/D149</f>
        <v>6.8071528285581335</v>
      </c>
      <c r="E150" s="54">
        <f>TKorkeus/E149</f>
        <v>98.19244765256816</v>
      </c>
      <c r="F150" s="53">
        <f>T400m/F149</f>
        <v>86.63254553665512</v>
      </c>
      <c r="G150" s="55">
        <f>TAidat/G149</f>
        <v>19.338772915121332</v>
      </c>
      <c r="H150" s="53">
        <f>TKiekko/H149</f>
        <v>19.60905222914226</v>
      </c>
      <c r="I150" s="54">
        <f>TSeiväs/I149</f>
        <v>180.1010101010101</v>
      </c>
      <c r="J150" s="53">
        <f>TKeihäs/J149</f>
        <v>21.892725644342722</v>
      </c>
      <c r="K150" s="53">
        <f>T1500m/K149</f>
        <v>464.70236314687406</v>
      </c>
    </row>
    <row r="151" spans="1:11" ht="12.75">
      <c r="A151" s="7">
        <v>80</v>
      </c>
      <c r="B151" s="37">
        <v>0.6894</v>
      </c>
      <c r="C151" s="37">
        <v>2.0506</v>
      </c>
      <c r="D151" s="37">
        <v>1.7816</v>
      </c>
      <c r="E151" s="37">
        <v>1.8097</v>
      </c>
      <c r="F151" s="37">
        <v>0.6082</v>
      </c>
      <c r="G151" s="38">
        <v>0.8607</v>
      </c>
      <c r="H151" s="37">
        <v>1.9033</v>
      </c>
      <c r="I151" s="37">
        <v>2.2327</v>
      </c>
      <c r="J151" s="37">
        <v>2.0612</v>
      </c>
      <c r="K151" s="37">
        <v>0.6236</v>
      </c>
    </row>
    <row r="152" spans="1:11" ht="20.25" customHeight="1">
      <c r="A152" s="7"/>
      <c r="B152" s="53">
        <f>T100m/B151</f>
        <v>18.590078328981726</v>
      </c>
      <c r="C152" s="54">
        <f>TPituus/C151</f>
        <v>272.60314054423094</v>
      </c>
      <c r="D152" s="53">
        <f>TKuula/D151</f>
        <v>5.747642568477772</v>
      </c>
      <c r="E152" s="54">
        <f>TKorkeus/E151</f>
        <v>90.95430181798088</v>
      </c>
      <c r="F152" s="53">
        <f>T400m/F151</f>
        <v>94.62347911871095</v>
      </c>
      <c r="G152" s="55">
        <f>TAidat/G151</f>
        <v>21.203671430231207</v>
      </c>
      <c r="H152" s="53">
        <f>TKiekko/H151</f>
        <v>16.707823254347712</v>
      </c>
      <c r="I152" s="54">
        <f>TSeiväs/I151</f>
        <v>159.7169346531106</v>
      </c>
      <c r="J152" s="53">
        <f>TKeihäs/J151</f>
        <v>21.34678827867262</v>
      </c>
      <c r="K152" s="53">
        <f>T1500m/K151</f>
        <v>498.2360487491982</v>
      </c>
    </row>
    <row r="153" spans="1:11" ht="12.75">
      <c r="A153" s="7">
        <v>85</v>
      </c>
      <c r="B153" s="37">
        <v>0.6316</v>
      </c>
      <c r="C153" s="37">
        <v>2.3553</v>
      </c>
      <c r="D153" s="37">
        <v>2.1843</v>
      </c>
      <c r="E153" s="37">
        <v>1.966</v>
      </c>
      <c r="F153" s="37">
        <v>0.5266</v>
      </c>
      <c r="G153" s="38">
        <v>0.7377</v>
      </c>
      <c r="H153" s="37">
        <v>2.3034</v>
      </c>
      <c r="I153" s="37">
        <v>2.5595</v>
      </c>
      <c r="J153" s="37">
        <v>2.6164</v>
      </c>
      <c r="K153" s="37">
        <v>0.5483</v>
      </c>
    </row>
    <row r="154" spans="1:11" ht="20.25" customHeight="1">
      <c r="A154" s="7"/>
      <c r="B154" s="53">
        <f>T100m/B153</f>
        <v>20.291323622545914</v>
      </c>
      <c r="C154" s="54">
        <f>TPituus/C153</f>
        <v>237.33706958773828</v>
      </c>
      <c r="D154" s="53">
        <f>TKuula/D153</f>
        <v>4.6880007325001145</v>
      </c>
      <c r="E154" s="54">
        <f>TKorkeus/E153</f>
        <v>83.7232960325534</v>
      </c>
      <c r="F154" s="53">
        <f>T400m/F153</f>
        <v>109.28598556779339</v>
      </c>
      <c r="G154" s="55">
        <f>TAidat/G153</f>
        <v>24.73905381591433</v>
      </c>
      <c r="H154" s="53">
        <f>TKiekko/H153</f>
        <v>13.805678562125555</v>
      </c>
      <c r="I154" s="54">
        <f>TSeiväs/I153</f>
        <v>139.32408673569057</v>
      </c>
      <c r="J154" s="53">
        <f>TKeihäs/J153</f>
        <v>16.817000458645467</v>
      </c>
      <c r="K154" s="53">
        <f>T1500m/K153</f>
        <v>566.6605872697428</v>
      </c>
    </row>
    <row r="155" spans="1:11" ht="12.75">
      <c r="A155" s="7">
        <v>90</v>
      </c>
      <c r="B155" s="37">
        <v>0.5759</v>
      </c>
      <c r="C155" s="37">
        <v>3.0442</v>
      </c>
      <c r="D155" s="37">
        <v>2.8222</v>
      </c>
      <c r="E155" s="37">
        <v>2.2072</v>
      </c>
      <c r="F155" s="37">
        <v>0.4362</v>
      </c>
      <c r="G155" s="38">
        <v>0.6148</v>
      </c>
      <c r="H155" s="37">
        <v>2.9162</v>
      </c>
      <c r="I155" s="37">
        <v>3.07</v>
      </c>
      <c r="J155" s="37">
        <v>3.5811</v>
      </c>
      <c r="K155" s="37">
        <v>0.4416</v>
      </c>
    </row>
    <row r="156" spans="1:11" ht="21" customHeight="1">
      <c r="A156" s="7"/>
      <c r="B156" s="53">
        <f>T100m/B155</f>
        <v>22.253863517971872</v>
      </c>
      <c r="C156" s="54">
        <f>TPituus/C155</f>
        <v>183.62788253071415</v>
      </c>
      <c r="D156" s="53">
        <f>TKuula/D155</f>
        <v>3.6283750265750125</v>
      </c>
      <c r="E156" s="54">
        <f>TKorkeus/E155</f>
        <v>74.57412105835448</v>
      </c>
      <c r="F156" s="53">
        <f>T400m/F155</f>
        <v>131.9348922512609</v>
      </c>
      <c r="G156" s="55">
        <f>TAidat/G155</f>
        <v>29.68445022771633</v>
      </c>
      <c r="H156" s="53">
        <f>TKiekko/H155</f>
        <v>10.90460187915781</v>
      </c>
      <c r="I156" s="54">
        <f>TSeiväs/I155</f>
        <v>116.15635179153095</v>
      </c>
      <c r="J156" s="53">
        <f>TKeihäs/J155</f>
        <v>12.28672754181676</v>
      </c>
      <c r="K156" s="53">
        <f>T1500m/K155</f>
        <v>703.5778985507246</v>
      </c>
    </row>
    <row r="157" spans="1:11" ht="12.75">
      <c r="A157" s="7">
        <v>95</v>
      </c>
      <c r="B157" s="37">
        <v>0.4925</v>
      </c>
      <c r="C157" s="37">
        <v>4.6134</v>
      </c>
      <c r="D157" s="37">
        <v>3.9862</v>
      </c>
      <c r="E157" s="37">
        <v>2.663</v>
      </c>
      <c r="F157" s="37">
        <v>0.3185</v>
      </c>
      <c r="G157" s="38">
        <v>0.4781</v>
      </c>
      <c r="H157" s="37">
        <v>3.9735</v>
      </c>
      <c r="I157" s="37">
        <v>4.0933</v>
      </c>
      <c r="J157" s="37">
        <v>5.6724</v>
      </c>
      <c r="K157" s="37">
        <v>0.3179</v>
      </c>
    </row>
    <row r="158" spans="1:11" ht="21" customHeight="1">
      <c r="A158" s="7"/>
      <c r="B158" s="53">
        <f>T100m/B157</f>
        <v>26.022335025380713</v>
      </c>
      <c r="C158" s="54">
        <f>TPituus/C157</f>
        <v>121.16876923743875</v>
      </c>
      <c r="D158" s="53">
        <f>TKuula/D157</f>
        <v>2.5688625758868096</v>
      </c>
      <c r="E158" s="54">
        <f>TKorkeus/E157</f>
        <v>61.80998873450995</v>
      </c>
      <c r="F158" s="53">
        <f>T400m/F157</f>
        <v>180.69073783359497</v>
      </c>
      <c r="G158" s="55">
        <f>TAidat/G157</f>
        <v>38.17193055846057</v>
      </c>
      <c r="H158" s="53">
        <f>TKiekko/H157</f>
        <v>8.003020007550019</v>
      </c>
      <c r="I158" s="54">
        <f>TSeiväs/I157</f>
        <v>87.117973273398</v>
      </c>
      <c r="J158" s="53">
        <f>TKeihäs/J157</f>
        <v>7.756857767435301</v>
      </c>
      <c r="K158" s="53">
        <f>T1500m/K157</f>
        <v>977.3513683548284</v>
      </c>
    </row>
    <row r="159" spans="1:11" ht="12.75">
      <c r="A159" s="8" t="s">
        <v>2</v>
      </c>
      <c r="B159" s="37">
        <v>0.2417</v>
      </c>
      <c r="C159" s="37">
        <v>11.9333</v>
      </c>
      <c r="D159" s="37">
        <v>6.7847</v>
      </c>
      <c r="E159" s="37">
        <v>3.5</v>
      </c>
      <c r="F159" s="37">
        <v>0.2417</v>
      </c>
      <c r="G159" s="38">
        <v>0.3228</v>
      </c>
      <c r="H159" s="37">
        <v>6.2333</v>
      </c>
      <c r="I159" s="37">
        <v>6.14</v>
      </c>
      <c r="J159" s="37">
        <v>13.6357</v>
      </c>
      <c r="K159" s="37">
        <v>0.2417</v>
      </c>
    </row>
    <row r="160" spans="2:11" ht="20.25" customHeight="1">
      <c r="B160" s="53">
        <f>T100m/B159</f>
        <v>53.02441042614812</v>
      </c>
      <c r="C160" s="54">
        <f>TPituus/C159</f>
        <v>46.843706267335946</v>
      </c>
      <c r="D160" s="53">
        <f>TKuula/D159</f>
        <v>1.5092782289563282</v>
      </c>
      <c r="E160" s="54">
        <f>TKorkeus/E159</f>
        <v>47.028571428571425</v>
      </c>
      <c r="F160" s="53">
        <f>T400m/F159</f>
        <v>238.10508895324782</v>
      </c>
      <c r="G160" s="55">
        <f>TAidat/G159</f>
        <v>56.536555142503104</v>
      </c>
      <c r="H160" s="53">
        <f>TKiekko/H159</f>
        <v>5.101631559527057</v>
      </c>
      <c r="I160" s="54">
        <f>TSeiväs/I159</f>
        <v>58.078175895765476</v>
      </c>
      <c r="J160" s="53">
        <f>TKeihäs/J159</f>
        <v>3.2268237054203306</v>
      </c>
      <c r="K160" s="53">
        <f>T1500m/K159</f>
        <v>1285.477865122052</v>
      </c>
    </row>
    <row r="161" spans="2:11" ht="12.75">
      <c r="B161" s="32"/>
      <c r="C161" s="10"/>
      <c r="D161" s="9"/>
      <c r="E161" s="10"/>
      <c r="F161" s="9"/>
      <c r="G161" s="11"/>
      <c r="H161" s="9"/>
      <c r="I161" s="10"/>
      <c r="J161" s="9"/>
      <c r="K161" s="9"/>
    </row>
    <row r="162" spans="2:11" ht="12.75">
      <c r="B162" s="96"/>
      <c r="C162" s="10"/>
      <c r="D162" s="9"/>
      <c r="E162" s="10"/>
      <c r="F162" s="9"/>
      <c r="G162" s="11"/>
      <c r="H162" s="9"/>
      <c r="I162" s="10"/>
      <c r="J162" s="9"/>
      <c r="K162" s="9"/>
    </row>
    <row r="163" spans="2:11" ht="12.75">
      <c r="B163" s="96"/>
      <c r="C163" s="10"/>
      <c r="D163" s="9"/>
      <c r="E163" s="10"/>
      <c r="F163" s="9"/>
      <c r="G163" s="11"/>
      <c r="H163" s="9"/>
      <c r="I163" s="10"/>
      <c r="J163" s="9"/>
      <c r="K163" s="9"/>
    </row>
    <row r="164" ht="19.5" customHeight="1"/>
    <row r="165" spans="2:11" ht="18">
      <c r="B165" s="29"/>
      <c r="C165" s="5"/>
      <c r="D165" s="5"/>
      <c r="E165" s="5"/>
      <c r="F165" s="5"/>
      <c r="G165" s="5"/>
      <c r="H165" s="5"/>
      <c r="I165" s="5"/>
      <c r="J165" s="5"/>
      <c r="K165" s="14"/>
    </row>
    <row r="166" spans="1:11" ht="20.25" customHeight="1">
      <c r="A166" s="6"/>
      <c r="B166" s="30"/>
      <c r="C166" s="3"/>
      <c r="D166" s="2"/>
      <c r="E166" s="3"/>
      <c r="F166" s="2"/>
      <c r="G166" s="2"/>
      <c r="H166" s="2"/>
      <c r="I166" s="3"/>
      <c r="J166" s="2"/>
      <c r="K166" s="15"/>
    </row>
    <row r="167" spans="1:11" ht="15">
      <c r="A167" s="95"/>
      <c r="B167" s="31"/>
      <c r="C167" s="4"/>
      <c r="D167" s="4"/>
      <c r="E167" s="4"/>
      <c r="F167" s="4"/>
      <c r="G167" s="4"/>
      <c r="H167" s="4"/>
      <c r="I167" s="4"/>
      <c r="J167" s="4"/>
      <c r="K167" s="16"/>
    </row>
    <row r="168" spans="1:11" ht="15">
      <c r="A168" s="6"/>
      <c r="B168" s="30"/>
      <c r="C168" s="3"/>
      <c r="D168" s="2"/>
      <c r="E168" s="3"/>
      <c r="F168" s="2"/>
      <c r="G168" s="2"/>
      <c r="H168" s="2"/>
      <c r="I168" s="3"/>
      <c r="J168" s="2"/>
      <c r="K168" s="15"/>
    </row>
    <row r="169" spans="1:11" ht="15">
      <c r="A169" s="95"/>
      <c r="B169" s="31"/>
      <c r="C169" s="4"/>
      <c r="D169" s="4"/>
      <c r="E169" s="4"/>
      <c r="F169" s="4"/>
      <c r="G169" s="4"/>
      <c r="H169" s="4"/>
      <c r="I169" s="4"/>
      <c r="J169" s="4"/>
      <c r="K169" s="16"/>
    </row>
    <row r="173" ht="12.75">
      <c r="F173" s="57"/>
    </row>
  </sheetData>
  <sheetProtection/>
  <printOptions horizontalCentered="1" verticalCentered="1"/>
  <pageMargins left="0.2" right="0.13" top="0.14" bottom="0.18" header="0.13" footer="0.15748031496062992"/>
  <pageSetup fitToHeight="2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5.7109375" style="0" customWidth="1"/>
    <col min="2" max="2" width="9.7109375" style="0" customWidth="1"/>
    <col min="6" max="6" width="10.140625" style="0" customWidth="1"/>
    <col min="7" max="7" width="10.00390625" style="0" customWidth="1"/>
    <col min="8" max="8" width="9.7109375" style="0" customWidth="1"/>
    <col min="10" max="10" width="9.7109375" style="0" customWidth="1"/>
    <col min="11" max="11" width="11.140625" style="0" customWidth="1"/>
    <col min="13" max="13" width="15.421875" style="0" customWidth="1"/>
  </cols>
  <sheetData>
    <row r="2" spans="1:10" ht="15.75">
      <c r="A2" s="17" t="s">
        <v>21</v>
      </c>
      <c r="B2" s="18"/>
      <c r="C2" s="19"/>
      <c r="D2" s="19"/>
      <c r="E2" s="19"/>
      <c r="F2" s="19"/>
      <c r="G2" s="19" t="s">
        <v>27</v>
      </c>
      <c r="H2" s="19"/>
      <c r="I2" s="19"/>
      <c r="J2" s="19"/>
    </row>
    <row r="3" spans="1:10" ht="12.75">
      <c r="A3" s="21"/>
      <c r="B3" s="22"/>
      <c r="C3" s="23"/>
      <c r="D3" s="23" t="s">
        <v>12</v>
      </c>
      <c r="E3" s="23"/>
      <c r="F3" s="23"/>
      <c r="G3" s="23" t="s">
        <v>24</v>
      </c>
      <c r="H3" s="23" t="s">
        <v>15</v>
      </c>
      <c r="I3" s="23"/>
      <c r="J3" s="23" t="s">
        <v>17</v>
      </c>
    </row>
    <row r="4" spans="1:10" ht="12.75">
      <c r="A4" s="21"/>
      <c r="B4" s="22"/>
      <c r="C4" s="23"/>
      <c r="D4" s="25" t="s">
        <v>13</v>
      </c>
      <c r="E4" s="23"/>
      <c r="F4" s="23"/>
      <c r="G4" s="23" t="s">
        <v>25</v>
      </c>
      <c r="H4" s="23" t="s">
        <v>16</v>
      </c>
      <c r="I4" s="23"/>
      <c r="J4" s="23" t="s">
        <v>18</v>
      </c>
    </row>
    <row r="5" spans="1:10" ht="12.75">
      <c r="A5" s="21"/>
      <c r="B5" s="22"/>
      <c r="C5" s="23"/>
      <c r="D5" s="23" t="s">
        <v>14</v>
      </c>
      <c r="E5" s="23"/>
      <c r="F5" s="23"/>
      <c r="G5" s="25" t="s">
        <v>26</v>
      </c>
      <c r="H5" s="23"/>
      <c r="I5" s="23"/>
      <c r="J5" s="23" t="s">
        <v>19</v>
      </c>
    </row>
    <row r="6" spans="1:10" ht="12.75">
      <c r="A6" s="26"/>
      <c r="B6" s="148" t="s">
        <v>92</v>
      </c>
      <c r="C6" s="27"/>
      <c r="D6" s="27"/>
      <c r="E6" s="27"/>
      <c r="F6" s="27"/>
      <c r="G6" s="27"/>
      <c r="H6" s="27"/>
      <c r="I6" s="27"/>
      <c r="J6" s="27" t="s">
        <v>20</v>
      </c>
    </row>
    <row r="7" spans="2:13" ht="32.25" customHeight="1">
      <c r="B7" s="43" t="s">
        <v>5</v>
      </c>
      <c r="C7" s="40" t="s">
        <v>1</v>
      </c>
      <c r="D7" s="40" t="s">
        <v>88</v>
      </c>
      <c r="E7" s="40" t="s">
        <v>0</v>
      </c>
      <c r="F7" s="40" t="s">
        <v>6</v>
      </c>
      <c r="G7" s="40" t="s">
        <v>89</v>
      </c>
      <c r="H7" s="40" t="s">
        <v>90</v>
      </c>
      <c r="I7" s="40" t="s">
        <v>7</v>
      </c>
      <c r="J7" s="40" t="s">
        <v>91</v>
      </c>
      <c r="K7" s="40" t="s">
        <v>4</v>
      </c>
      <c r="M7" s="5" t="s">
        <v>3</v>
      </c>
    </row>
    <row r="8" spans="1:13" ht="18">
      <c r="A8" t="s">
        <v>31</v>
      </c>
      <c r="B8" s="44">
        <v>14.4</v>
      </c>
      <c r="C8" s="42">
        <v>423</v>
      </c>
      <c r="D8" s="41">
        <v>8</v>
      </c>
      <c r="E8" s="42">
        <v>130</v>
      </c>
      <c r="F8" s="41">
        <v>69.9</v>
      </c>
      <c r="G8" s="41">
        <v>19.72</v>
      </c>
      <c r="H8" s="41">
        <v>21</v>
      </c>
      <c r="I8" s="42">
        <v>250</v>
      </c>
      <c r="J8" s="41">
        <v>29</v>
      </c>
      <c r="K8" s="41">
        <v>343.7</v>
      </c>
      <c r="L8" s="56" t="s">
        <v>29</v>
      </c>
      <c r="M8" s="5"/>
    </row>
    <row r="9" spans="1:13" s="62" customFormat="1" ht="18.75" thickBot="1">
      <c r="A9" s="81" t="s">
        <v>8</v>
      </c>
      <c r="B9" s="82">
        <f>TRUNC(25.4347*(18-B40)^1.81)</f>
        <v>569</v>
      </c>
      <c r="C9" s="83">
        <f>TRUNC(0.14354*(C40-220)^1.4)</f>
        <v>518</v>
      </c>
      <c r="D9" s="83">
        <f>TRUNC(51.39*(D40-1.5)^1.05)</f>
        <v>497</v>
      </c>
      <c r="E9" s="83">
        <f>TRUNC(0.84565*(E40-75)^1.42)</f>
        <v>530</v>
      </c>
      <c r="F9" s="83">
        <f>TRUNC(1.53775*(82-F40)^1.81)</f>
        <v>450</v>
      </c>
      <c r="G9" s="83">
        <f>TRUNC(5.74352*(28.5-G40)^1.92)</f>
        <v>532</v>
      </c>
      <c r="H9" s="83">
        <f>TRUNC(12.91*(H40-4)^1.1)</f>
        <v>330</v>
      </c>
      <c r="I9" s="83">
        <f>TRUNC(0.2797*(I40-100)^1.35)</f>
        <v>458</v>
      </c>
      <c r="J9" s="83">
        <f>TRUNC(10.14*(J40-7)^1.08)</f>
        <v>453</v>
      </c>
      <c r="K9" s="83">
        <f>TRUNC(0.03768*(480-K40)^1.85)</f>
        <v>673</v>
      </c>
      <c r="M9" s="63">
        <f>SUM(B9:K9)</f>
        <v>5010</v>
      </c>
    </row>
    <row r="10" spans="1:13" ht="18.75" thickTop="1">
      <c r="A10" t="s">
        <v>32</v>
      </c>
      <c r="B10" s="44">
        <v>13.9</v>
      </c>
      <c r="C10" s="42">
        <v>406</v>
      </c>
      <c r="D10" s="41">
        <v>7</v>
      </c>
      <c r="E10" s="42">
        <v>125</v>
      </c>
      <c r="F10" s="41">
        <v>68.5</v>
      </c>
      <c r="G10" s="41">
        <v>19.9</v>
      </c>
      <c r="H10" s="41">
        <v>17</v>
      </c>
      <c r="I10" s="42">
        <v>230</v>
      </c>
      <c r="J10" s="41">
        <v>28.8</v>
      </c>
      <c r="K10" s="41">
        <v>343.2</v>
      </c>
      <c r="L10" s="56" t="s">
        <v>34</v>
      </c>
      <c r="M10" s="5"/>
    </row>
    <row r="11" spans="1:13" s="62" customFormat="1" ht="18.75" thickBot="1">
      <c r="A11" s="81" t="s">
        <v>8</v>
      </c>
      <c r="B11" s="60">
        <f>TRUNC(25.4347*(18-B42)^1.81)</f>
        <v>651</v>
      </c>
      <c r="C11" s="61">
        <f>TRUNC(0.14354*(C42-220)^1.4)</f>
        <v>471</v>
      </c>
      <c r="D11" s="61">
        <f>TRUNC(51.39*(D42-1.5)^1.05)</f>
        <v>421</v>
      </c>
      <c r="E11" s="61">
        <f>TRUNC(0.84565*(E42-75)^1.42)</f>
        <v>478</v>
      </c>
      <c r="F11" s="61">
        <f>TRUNC(1.53775*(82-F42)^1.81)</f>
        <v>492</v>
      </c>
      <c r="G11" s="61">
        <f>TRUNC(5.74352*(28.5-G42)^1.92)</f>
        <v>517</v>
      </c>
      <c r="H11" s="61">
        <f>TRUNC(12.91*(H42-4)^1.1)</f>
        <v>247</v>
      </c>
      <c r="I11" s="61">
        <f>TRUNC(0.2797*(I42-100)^1.35)</f>
        <v>390</v>
      </c>
      <c r="J11" s="61">
        <f>TRUNC(10.14*(J42-7)^1.08)</f>
        <v>449</v>
      </c>
      <c r="K11" s="61">
        <f>TRUNC(0.03768*(480-K42)^1.85)</f>
        <v>675</v>
      </c>
      <c r="M11" s="63">
        <f>SUM(B11:K11)</f>
        <v>4791</v>
      </c>
    </row>
    <row r="12" spans="1:13" ht="18.75" thickTop="1">
      <c r="A12" t="s">
        <v>35</v>
      </c>
      <c r="B12" s="44">
        <v>14.4</v>
      </c>
      <c r="C12" s="42">
        <v>384</v>
      </c>
      <c r="D12" s="41">
        <v>7.7</v>
      </c>
      <c r="E12" s="42">
        <v>130</v>
      </c>
      <c r="F12" s="41">
        <v>72.7</v>
      </c>
      <c r="G12" s="41">
        <v>21.4</v>
      </c>
      <c r="H12" s="41">
        <v>18</v>
      </c>
      <c r="I12" s="42">
        <v>210</v>
      </c>
      <c r="J12" s="41">
        <v>21.5</v>
      </c>
      <c r="K12" s="41">
        <v>377.1</v>
      </c>
      <c r="L12" s="56" t="s">
        <v>36</v>
      </c>
      <c r="M12" s="5"/>
    </row>
    <row r="13" spans="1:13" s="62" customFormat="1" ht="18.75" thickBot="1">
      <c r="A13" s="81" t="s">
        <v>8</v>
      </c>
      <c r="B13" s="60">
        <f>TRUNC(25.4347*(18-B44)^1.81)</f>
        <v>569</v>
      </c>
      <c r="C13" s="61">
        <f>TRUNC(0.14354*(C44-220)^1.4)</f>
        <v>412</v>
      </c>
      <c r="D13" s="61">
        <f>TRUNC(51.39*(D44-1.5)^1.05)</f>
        <v>474</v>
      </c>
      <c r="E13" s="61">
        <f>TRUNC(0.84565*(E44-75)^1.42)</f>
        <v>530</v>
      </c>
      <c r="F13" s="61">
        <f>TRUNC(1.53775*(82-F44)^1.81)</f>
        <v>370</v>
      </c>
      <c r="G13" s="61">
        <f>TRUNC(5.74352*(28.5-G44)^1.92)</f>
        <v>395</v>
      </c>
      <c r="H13" s="61">
        <f>TRUNC(12.91*(H44-4)^1.1)</f>
        <v>268</v>
      </c>
      <c r="I13" s="61">
        <f>TRUNC(0.2797*(I44-100)^1.35)</f>
        <v>324</v>
      </c>
      <c r="J13" s="61">
        <f>TRUNC(10.14*(J44-7)^1.08)</f>
        <v>302</v>
      </c>
      <c r="K13" s="61">
        <f>TRUNC(0.03768*(480-K44)^1.85)</f>
        <v>512</v>
      </c>
      <c r="M13" s="63">
        <f>SUM(B13:K13)</f>
        <v>4156</v>
      </c>
    </row>
    <row r="14" spans="1:13" ht="18.75" thickTop="1">
      <c r="A14" t="s">
        <v>33</v>
      </c>
      <c r="B14" s="44">
        <v>20.7</v>
      </c>
      <c r="C14" s="42">
        <v>320</v>
      </c>
      <c r="D14" s="41">
        <v>6</v>
      </c>
      <c r="E14" s="42">
        <v>125</v>
      </c>
      <c r="F14" s="41">
        <v>97</v>
      </c>
      <c r="G14" s="41">
        <v>31</v>
      </c>
      <c r="H14" s="41">
        <v>14</v>
      </c>
      <c r="I14" s="42">
        <v>250</v>
      </c>
      <c r="J14" s="41">
        <v>17</v>
      </c>
      <c r="K14" s="41">
        <v>580</v>
      </c>
      <c r="L14" s="56" t="s">
        <v>40</v>
      </c>
      <c r="M14" s="5"/>
    </row>
    <row r="15" spans="1:13" s="62" customFormat="1" ht="18.75" thickBot="1">
      <c r="A15" s="85" t="s">
        <v>8</v>
      </c>
      <c r="B15" s="65">
        <f>TRUNC(25.4347*(18-B46)^1.81)</f>
        <v>0</v>
      </c>
      <c r="C15" s="84">
        <f>TRUNC(0.14354*(C46-220)^1.4)</f>
        <v>254</v>
      </c>
      <c r="D15" s="84">
        <f>TRUNC(51.39*(D46-1.5)^1.05)</f>
        <v>345</v>
      </c>
      <c r="E15" s="84">
        <f>TRUNC(0.84565*(E46-75)^1.42)</f>
        <v>478</v>
      </c>
      <c r="F15" s="84">
        <f>TRUNC(1.53775*(82-F46)^1.81)</f>
        <v>0</v>
      </c>
      <c r="G15" s="84">
        <f>TRUNC(5.74352*(28.5-G46)^1.92)</f>
        <v>0</v>
      </c>
      <c r="H15" s="84">
        <f>TRUNC(12.91*(H46-4)^1.1)</f>
        <v>187</v>
      </c>
      <c r="I15" s="84">
        <f>TRUNC(0.2797*(I46-100)^1.35)</f>
        <v>458</v>
      </c>
      <c r="J15" s="84">
        <f>TRUNC(10.14*(J46-7)^1.08)</f>
        <v>214</v>
      </c>
      <c r="K15" s="84">
        <f>TRUNC(0.03768*(480-K46)^1.85)</f>
        <v>0</v>
      </c>
      <c r="L15" s="68"/>
      <c r="M15" s="69">
        <f>SUM(B15:K15)</f>
        <v>1936</v>
      </c>
    </row>
    <row r="16" spans="1:13" ht="18">
      <c r="A16" t="s">
        <v>37</v>
      </c>
      <c r="B16" s="44">
        <v>18.3</v>
      </c>
      <c r="C16" s="42">
        <v>269</v>
      </c>
      <c r="D16" s="41">
        <v>7.3</v>
      </c>
      <c r="E16" s="42">
        <v>110</v>
      </c>
      <c r="F16" s="41">
        <v>83.3</v>
      </c>
      <c r="G16" s="41">
        <v>31</v>
      </c>
      <c r="H16" s="41">
        <v>18.5</v>
      </c>
      <c r="I16" s="42">
        <v>160</v>
      </c>
      <c r="J16" s="41">
        <v>25</v>
      </c>
      <c r="K16" s="41">
        <v>408.9</v>
      </c>
      <c r="L16" s="56" t="s">
        <v>44</v>
      </c>
      <c r="M16" s="5"/>
    </row>
    <row r="17" spans="1:13" s="62" customFormat="1" ht="18.75" thickBot="1">
      <c r="A17" s="85" t="s">
        <v>8</v>
      </c>
      <c r="B17" s="65">
        <f>TRUNC(25.4347*(18-B48)^1.81)</f>
        <v>106</v>
      </c>
      <c r="C17" s="84">
        <f>TRUNC(0.14354*(C48-220)^1.4)</f>
        <v>146</v>
      </c>
      <c r="D17" s="84">
        <f>TRUNC(51.39*(D48-1.5)^1.05)</f>
        <v>444</v>
      </c>
      <c r="E17" s="84">
        <f>TRUNC(0.84565*(E48-75)^1.42)</f>
        <v>334</v>
      </c>
      <c r="F17" s="84">
        <f>TRUNC(1.53775*(82-F48)^1.81)</f>
        <v>133</v>
      </c>
      <c r="G17" s="84">
        <f>TRUNC(5.74352*(28.5-G48)^1.92)</f>
        <v>0</v>
      </c>
      <c r="H17" s="84">
        <f>TRUNC(12.91*(H48-4)^1.1)</f>
        <v>278</v>
      </c>
      <c r="I17" s="84">
        <f>TRUNC(0.2797*(I48-100)^1.35)</f>
        <v>175</v>
      </c>
      <c r="J17" s="84">
        <f>TRUNC(10.14*(J48-7)^1.08)</f>
        <v>372</v>
      </c>
      <c r="K17" s="84">
        <f>TRUNC(0.03768*(480-K48)^1.85)</f>
        <v>377</v>
      </c>
      <c r="L17" s="68"/>
      <c r="M17" s="69">
        <f>SUM(B17:K17)</f>
        <v>2365</v>
      </c>
    </row>
    <row r="18" spans="1:13" ht="18">
      <c r="A18" t="s">
        <v>38</v>
      </c>
      <c r="B18" s="44">
        <v>17</v>
      </c>
      <c r="C18" s="42">
        <v>269</v>
      </c>
      <c r="D18" s="41">
        <v>6.8</v>
      </c>
      <c r="E18" s="42">
        <v>58</v>
      </c>
      <c r="F18" s="41">
        <v>88</v>
      </c>
      <c r="G18" s="41">
        <v>31</v>
      </c>
      <c r="H18" s="41">
        <v>17</v>
      </c>
      <c r="I18" s="42">
        <v>75</v>
      </c>
      <c r="J18" s="41">
        <v>23.2</v>
      </c>
      <c r="K18" s="41">
        <v>580</v>
      </c>
      <c r="L18" s="56" t="s">
        <v>40</v>
      </c>
      <c r="M18" s="5"/>
    </row>
    <row r="19" spans="1:13" s="62" customFormat="1" ht="18.75" thickBot="1">
      <c r="A19" s="85" t="s">
        <v>8</v>
      </c>
      <c r="B19" s="65">
        <f>TRUNC(25.4347*(18-B50)^1.81)</f>
        <v>223</v>
      </c>
      <c r="C19" s="84">
        <f>TRUNC(0.14354*(C50-220)^1.4)</f>
        <v>146</v>
      </c>
      <c r="D19" s="84">
        <f>TRUNC(51.39*(D50-1.5)^1.05)</f>
        <v>406</v>
      </c>
      <c r="E19" s="84">
        <f>TRUNC(0.84565*(E50-75)^1.42)</f>
        <v>0</v>
      </c>
      <c r="F19" s="84">
        <f>TRUNC(1.53775*(82-F50)^1.81)</f>
        <v>63</v>
      </c>
      <c r="G19" s="84">
        <f>TRUNC(5.74352*(28.5-G50)^1.92)</f>
        <v>0</v>
      </c>
      <c r="H19" s="84">
        <f>TRUNC(12.91*(H50-4)^1.1)</f>
        <v>247</v>
      </c>
      <c r="I19" s="84">
        <f>TRUNC(0.2797*(I50-100)^1.35)</f>
        <v>0</v>
      </c>
      <c r="J19" s="84">
        <f>TRUNC(10.14*(J50-7)^1.08)</f>
        <v>336</v>
      </c>
      <c r="K19" s="84">
        <f>TRUNC(0.03768*(480-K50)^1.85)</f>
        <v>0</v>
      </c>
      <c r="L19" s="68"/>
      <c r="M19" s="69">
        <f>SUM(B19:K19)</f>
        <v>1421</v>
      </c>
    </row>
    <row r="20" spans="1:13" ht="18">
      <c r="A20" t="s">
        <v>39</v>
      </c>
      <c r="B20" s="44">
        <v>20.7</v>
      </c>
      <c r="C20" s="42">
        <v>166</v>
      </c>
      <c r="D20" s="41">
        <v>7.1</v>
      </c>
      <c r="E20" s="42">
        <v>58</v>
      </c>
      <c r="F20" s="41">
        <v>96.35</v>
      </c>
      <c r="G20" s="41">
        <v>31</v>
      </c>
      <c r="H20" s="41">
        <v>17.7</v>
      </c>
      <c r="I20" s="42">
        <v>75</v>
      </c>
      <c r="J20" s="41">
        <v>18</v>
      </c>
      <c r="K20" s="41">
        <v>580</v>
      </c>
      <c r="L20" s="56" t="s">
        <v>40</v>
      </c>
      <c r="M20" s="5"/>
    </row>
    <row r="21" spans="1:13" s="62" customFormat="1" ht="18.75" thickBot="1">
      <c r="A21" s="85" t="s">
        <v>8</v>
      </c>
      <c r="B21" s="65">
        <f>TRUNC(25.4347*(18-B52)^1.81)</f>
        <v>0</v>
      </c>
      <c r="C21" s="84">
        <f>TRUNC(0.14354*(C52-220)^1.4)</f>
        <v>0</v>
      </c>
      <c r="D21" s="84">
        <f>TRUNC(51.39*(D52-1.5)^1.05)</f>
        <v>428</v>
      </c>
      <c r="E21" s="84">
        <f>TRUNC(0.84565*(E52-75)^1.42)</f>
        <v>0</v>
      </c>
      <c r="F21" s="84">
        <f>TRUNC(1.53775*(82-F52)^1.81)</f>
        <v>0</v>
      </c>
      <c r="G21" s="84">
        <f>TRUNC(5.74352*(28.5-G52)^1.92)</f>
        <v>0</v>
      </c>
      <c r="H21" s="84">
        <f>TRUNC(12.91*(H52-4)^1.1)</f>
        <v>262</v>
      </c>
      <c r="I21" s="84">
        <f>TRUNC(0.2797*(I52-100)^1.35)</f>
        <v>0</v>
      </c>
      <c r="J21" s="84">
        <f>TRUNC(10.14*(J52-7)^1.08)</f>
        <v>234</v>
      </c>
      <c r="K21" s="84">
        <f>TRUNC(0.03768*(480-K52)^1.85)</f>
        <v>0</v>
      </c>
      <c r="L21" s="68"/>
      <c r="M21" s="69">
        <f>SUM(B21:K21)</f>
        <v>924</v>
      </c>
    </row>
    <row r="22" spans="1:13" ht="18">
      <c r="A22" t="s">
        <v>41</v>
      </c>
      <c r="B22" s="44">
        <v>20.7</v>
      </c>
      <c r="C22" s="42">
        <v>166</v>
      </c>
      <c r="D22" s="41">
        <v>5.55</v>
      </c>
      <c r="E22" s="42">
        <v>58</v>
      </c>
      <c r="F22" s="41">
        <v>96.35</v>
      </c>
      <c r="G22" s="41">
        <v>31</v>
      </c>
      <c r="H22" s="41">
        <v>3.73</v>
      </c>
      <c r="I22" s="42">
        <v>75</v>
      </c>
      <c r="J22" s="41">
        <v>5.05</v>
      </c>
      <c r="K22" s="41">
        <v>580</v>
      </c>
      <c r="L22" s="56" t="s">
        <v>40</v>
      </c>
      <c r="M22" s="5"/>
    </row>
    <row r="23" spans="1:13" ht="18.75" thickBot="1">
      <c r="A23" s="85" t="s">
        <v>8</v>
      </c>
      <c r="B23" s="65">
        <f>TRUNC(25.4347*(18-B54)^1.81)</f>
        <v>0</v>
      </c>
      <c r="C23" s="84">
        <f>TRUNC(0.14354*(C54-220)^1.4)</f>
        <v>0</v>
      </c>
      <c r="D23" s="84">
        <f>TRUNC(51.39*(D54-1.5)^1.05)</f>
        <v>311</v>
      </c>
      <c r="E23" s="84">
        <f>TRUNC(0.84565*(E54-75)^1.42)</f>
        <v>0</v>
      </c>
      <c r="F23" s="84">
        <f>TRUNC(1.53775*(82-F54)^1.81)</f>
        <v>0</v>
      </c>
      <c r="G23" s="84">
        <f>TRUNC(5.74352*(28.5-G54)^1.92)</f>
        <v>0</v>
      </c>
      <c r="H23" s="84">
        <f>TRUNC(12.91*(H54-4)^1.1)</f>
        <v>0</v>
      </c>
      <c r="I23" s="84">
        <f>TRUNC(0.2797*(I54-100)^1.35)</f>
        <v>0</v>
      </c>
      <c r="J23" s="84">
        <f>TRUNC(10.14*(J54-7)^1.08)</f>
        <v>0</v>
      </c>
      <c r="K23" s="84">
        <f>TRUNC(0.03768*(480-K54)^1.85)</f>
        <v>0</v>
      </c>
      <c r="L23" s="68"/>
      <c r="M23" s="69">
        <f>SUM(B23:K23)</f>
        <v>311</v>
      </c>
    </row>
    <row r="24" spans="1:13" ht="18">
      <c r="A24" t="s">
        <v>42</v>
      </c>
      <c r="B24" s="44">
        <v>20.7</v>
      </c>
      <c r="C24" s="42">
        <v>166</v>
      </c>
      <c r="D24" s="41">
        <v>9.5</v>
      </c>
      <c r="E24" s="42">
        <v>58</v>
      </c>
      <c r="F24" s="41">
        <v>96.35</v>
      </c>
      <c r="G24" s="41">
        <v>31</v>
      </c>
      <c r="H24" s="41">
        <v>21.5</v>
      </c>
      <c r="I24" s="42">
        <v>75</v>
      </c>
      <c r="J24" s="41">
        <v>24.6</v>
      </c>
      <c r="K24" s="41">
        <v>580</v>
      </c>
      <c r="L24" s="56" t="s">
        <v>40</v>
      </c>
      <c r="M24" s="5"/>
    </row>
    <row r="25" spans="1:13" ht="18.75" thickBot="1">
      <c r="A25" s="85" t="s">
        <v>8</v>
      </c>
      <c r="B25" s="65">
        <f>TRUNC(25.4347*(18-B56)^1.81)</f>
        <v>0</v>
      </c>
      <c r="C25" s="84">
        <f>TRUNC(0.14354*(C56-220)^1.4)</f>
        <v>0</v>
      </c>
      <c r="D25" s="84">
        <f>TRUNC(51.39*(D56-1.5)^1.05)</f>
        <v>612</v>
      </c>
      <c r="E25" s="84">
        <f>TRUNC(0.84565*(E56-75)^1.42)</f>
        <v>0</v>
      </c>
      <c r="F25" s="84">
        <f>TRUNC(1.53775*(82-F56)^1.81)</f>
        <v>0</v>
      </c>
      <c r="G25" s="84">
        <f>TRUNC(5.74352*(28.5-G56)^1.92)</f>
        <v>0</v>
      </c>
      <c r="H25" s="84">
        <f>TRUNC(12.91*(H56-4)^1.1)</f>
        <v>341</v>
      </c>
      <c r="I25" s="84">
        <f>TRUNC(0.2797*(I56-100)^1.35)</f>
        <v>0</v>
      </c>
      <c r="J25" s="84">
        <f>TRUNC(10.14*(J56-7)^1.08)</f>
        <v>364</v>
      </c>
      <c r="K25" s="84">
        <f>TRUNC(0.03768*(480-K56)^1.85)</f>
        <v>0</v>
      </c>
      <c r="L25" s="68"/>
      <c r="M25" s="69">
        <f>SUM(B25:K25)</f>
        <v>1317</v>
      </c>
    </row>
    <row r="26" spans="1:13" ht="18">
      <c r="A26" t="s">
        <v>43</v>
      </c>
      <c r="B26" s="44">
        <v>20.7</v>
      </c>
      <c r="C26" s="42">
        <v>205</v>
      </c>
      <c r="D26" s="41">
        <v>9.35</v>
      </c>
      <c r="E26" s="42">
        <v>115</v>
      </c>
      <c r="F26" s="41">
        <v>96.35</v>
      </c>
      <c r="G26" s="41">
        <v>31</v>
      </c>
      <c r="H26" s="41">
        <v>22.5</v>
      </c>
      <c r="I26" s="42">
        <v>75</v>
      </c>
      <c r="J26" s="41">
        <v>28.5</v>
      </c>
      <c r="K26" s="41">
        <v>580</v>
      </c>
      <c r="L26" s="56" t="s">
        <v>40</v>
      </c>
      <c r="M26" s="5"/>
    </row>
    <row r="27" spans="1:13" ht="18.75" thickBot="1">
      <c r="A27" s="85" t="s">
        <v>8</v>
      </c>
      <c r="B27" s="65">
        <f>TRUNC(25.4347*(18-B58)^1.81)</f>
        <v>0</v>
      </c>
      <c r="C27" s="84">
        <f>TRUNC(0.14354*(C58-220)^1.4)</f>
        <v>39</v>
      </c>
      <c r="D27" s="84">
        <f>TRUNC(51.39*(D58-1.5)^1.05)</f>
        <v>601</v>
      </c>
      <c r="E27" s="84">
        <f>TRUNC(0.84565*(E58-75)^1.42)</f>
        <v>380</v>
      </c>
      <c r="F27" s="84">
        <f>TRUNC(1.53775*(82-F58)^1.81)</f>
        <v>0</v>
      </c>
      <c r="G27" s="84">
        <f>TRUNC(5.74352*(28.5-G58)^1.92)</f>
        <v>0</v>
      </c>
      <c r="H27" s="84">
        <f>TRUNC(12.91*(H58-4)^1.1)</f>
        <v>362</v>
      </c>
      <c r="I27" s="84">
        <f>TRUNC(0.2797*(I58-100)^1.35)</f>
        <v>0</v>
      </c>
      <c r="J27" s="84">
        <f>TRUNC(10.14*(J58-7)^1.08)</f>
        <v>443</v>
      </c>
      <c r="K27" s="84">
        <f>TRUNC(0.03768*(480-K58)^1.85)</f>
        <v>0</v>
      </c>
      <c r="L27" s="68"/>
      <c r="M27" s="69">
        <f>SUM(B27:K27)</f>
        <v>1825</v>
      </c>
    </row>
    <row r="28" spans="1:13" ht="18">
      <c r="A28" s="90" t="s">
        <v>45</v>
      </c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23"/>
      <c r="M28" s="89"/>
    </row>
    <row r="29" spans="1:13" ht="18">
      <c r="A29" s="86"/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23"/>
      <c r="M29" s="89"/>
    </row>
    <row r="30" spans="1:13" ht="18">
      <c r="A30" s="90" t="s">
        <v>46</v>
      </c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23"/>
      <c r="M30" s="89"/>
    </row>
    <row r="31" spans="1:13" ht="18">
      <c r="A31" s="86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23"/>
      <c r="M31" s="89"/>
    </row>
    <row r="32" ht="17.25" customHeight="1">
      <c r="A32" s="91" t="s">
        <v>47</v>
      </c>
    </row>
    <row r="33" ht="17.25" customHeight="1">
      <c r="A33" s="91"/>
    </row>
    <row r="34" ht="17.25" customHeight="1">
      <c r="A34" s="91" t="s">
        <v>48</v>
      </c>
    </row>
    <row r="35" ht="17.25" customHeight="1">
      <c r="A35" s="91"/>
    </row>
    <row r="36" ht="17.25" customHeight="1">
      <c r="A36" s="91" t="s">
        <v>49</v>
      </c>
    </row>
    <row r="37" ht="17.25" customHeight="1">
      <c r="A37" s="91"/>
    </row>
    <row r="38" ht="17.25" customHeight="1">
      <c r="A38" s="91"/>
    </row>
    <row r="39" spans="1:13" ht="18">
      <c r="A39" t="s">
        <v>30</v>
      </c>
      <c r="B39" s="37">
        <v>0.8633</v>
      </c>
      <c r="C39" s="37">
        <v>1.3417</v>
      </c>
      <c r="D39" s="37">
        <v>1.2736</v>
      </c>
      <c r="E39" s="37">
        <v>1.2947</v>
      </c>
      <c r="F39" s="37">
        <v>0.8433</v>
      </c>
      <c r="G39" s="38">
        <v>0.9085</v>
      </c>
      <c r="H39" s="37">
        <v>1.0984</v>
      </c>
      <c r="I39" s="37">
        <v>1.3628</v>
      </c>
      <c r="J39" s="37">
        <v>1.4059</v>
      </c>
      <c r="K39" s="37">
        <v>0.8181</v>
      </c>
      <c r="M39" s="5"/>
    </row>
    <row r="40" spans="1:13" ht="15">
      <c r="A40" s="45" t="s">
        <v>22</v>
      </c>
      <c r="B40" s="75">
        <f aca="true" t="shared" si="0" ref="B40:K40">B39*B8</f>
        <v>12.431519999999999</v>
      </c>
      <c r="C40" s="76">
        <f t="shared" si="0"/>
        <v>567.5391</v>
      </c>
      <c r="D40" s="77">
        <f t="shared" si="0"/>
        <v>10.1888</v>
      </c>
      <c r="E40" s="76">
        <f t="shared" si="0"/>
        <v>168.311</v>
      </c>
      <c r="F40" s="78">
        <f t="shared" si="0"/>
        <v>58.94667000000001</v>
      </c>
      <c r="G40" s="77">
        <f t="shared" si="0"/>
        <v>17.915619999999997</v>
      </c>
      <c r="H40" s="77">
        <f t="shared" si="0"/>
        <v>23.0664</v>
      </c>
      <c r="I40" s="79">
        <f t="shared" si="0"/>
        <v>340.7</v>
      </c>
      <c r="J40" s="77">
        <f t="shared" si="0"/>
        <v>40.7711</v>
      </c>
      <c r="K40" s="77">
        <f t="shared" si="0"/>
        <v>281.18097</v>
      </c>
      <c r="L40" s="80" t="s">
        <v>28</v>
      </c>
      <c r="M40" s="12"/>
    </row>
    <row r="41" spans="1:13" ht="18">
      <c r="A41" t="s">
        <v>30</v>
      </c>
      <c r="B41" s="37">
        <v>0.8633</v>
      </c>
      <c r="C41" s="37">
        <v>1.3417</v>
      </c>
      <c r="D41" s="37">
        <v>1.2736</v>
      </c>
      <c r="E41" s="37">
        <v>1.2947</v>
      </c>
      <c r="F41" s="37">
        <v>0.8433</v>
      </c>
      <c r="G41" s="38">
        <v>0.9085</v>
      </c>
      <c r="H41" s="37">
        <v>1.0984</v>
      </c>
      <c r="I41" s="37">
        <v>1.3628</v>
      </c>
      <c r="J41" s="37">
        <v>1.4059</v>
      </c>
      <c r="K41" s="37">
        <v>0.8181</v>
      </c>
      <c r="M41" s="5"/>
    </row>
    <row r="42" spans="1:13" ht="15">
      <c r="A42" s="45" t="s">
        <v>22</v>
      </c>
      <c r="B42" s="75">
        <f aca="true" t="shared" si="1" ref="B42:K42">B41*B10</f>
        <v>11.99987</v>
      </c>
      <c r="C42" s="76">
        <f t="shared" si="1"/>
        <v>544.7302</v>
      </c>
      <c r="D42" s="77">
        <f t="shared" si="1"/>
        <v>8.9152</v>
      </c>
      <c r="E42" s="76">
        <f t="shared" si="1"/>
        <v>161.8375</v>
      </c>
      <c r="F42" s="78">
        <f t="shared" si="1"/>
        <v>57.76605</v>
      </c>
      <c r="G42" s="77">
        <f t="shared" si="1"/>
        <v>18.07915</v>
      </c>
      <c r="H42" s="77">
        <f t="shared" si="1"/>
        <v>18.672800000000002</v>
      </c>
      <c r="I42" s="79">
        <f t="shared" si="1"/>
        <v>313.444</v>
      </c>
      <c r="J42" s="77">
        <f t="shared" si="1"/>
        <v>40.48992</v>
      </c>
      <c r="K42" s="77">
        <f t="shared" si="1"/>
        <v>280.77192</v>
      </c>
      <c r="L42" s="80"/>
      <c r="M42" s="12"/>
    </row>
    <row r="43" spans="1:13" ht="18">
      <c r="A43" t="s">
        <v>30</v>
      </c>
      <c r="B43" s="37">
        <v>0.8633</v>
      </c>
      <c r="C43" s="37">
        <v>1.3417</v>
      </c>
      <c r="D43" s="37">
        <v>1.2736</v>
      </c>
      <c r="E43" s="37">
        <v>1.2947</v>
      </c>
      <c r="F43" s="37">
        <v>0.8433</v>
      </c>
      <c r="G43" s="38">
        <v>0.9085</v>
      </c>
      <c r="H43" s="37">
        <v>1.0984</v>
      </c>
      <c r="I43" s="37">
        <v>1.3628</v>
      </c>
      <c r="J43" s="37">
        <v>1.4059</v>
      </c>
      <c r="K43" s="37">
        <v>0.8181</v>
      </c>
      <c r="M43" s="5"/>
    </row>
    <row r="44" spans="1:13" ht="15">
      <c r="A44" s="45" t="s">
        <v>22</v>
      </c>
      <c r="B44" s="75">
        <f aca="true" t="shared" si="2" ref="B44:K44">B43*B12</f>
        <v>12.431519999999999</v>
      </c>
      <c r="C44" s="76">
        <f t="shared" si="2"/>
        <v>515.2128</v>
      </c>
      <c r="D44" s="77">
        <f t="shared" si="2"/>
        <v>9.80672</v>
      </c>
      <c r="E44" s="76">
        <f t="shared" si="2"/>
        <v>168.311</v>
      </c>
      <c r="F44" s="78">
        <f t="shared" si="2"/>
        <v>61.30791000000001</v>
      </c>
      <c r="G44" s="77">
        <f t="shared" si="2"/>
        <v>19.441899999999997</v>
      </c>
      <c r="H44" s="77">
        <f t="shared" si="2"/>
        <v>19.7712</v>
      </c>
      <c r="I44" s="79">
        <f t="shared" si="2"/>
        <v>286.188</v>
      </c>
      <c r="J44" s="77">
        <f t="shared" si="2"/>
        <v>30.22685</v>
      </c>
      <c r="K44" s="77">
        <f t="shared" si="2"/>
        <v>308.50551</v>
      </c>
      <c r="L44" s="80"/>
      <c r="M44" s="12"/>
    </row>
    <row r="45" spans="1:13" ht="18">
      <c r="A45" t="s">
        <v>30</v>
      </c>
      <c r="B45" s="37">
        <v>0.8633</v>
      </c>
      <c r="C45" s="37">
        <v>1.3417</v>
      </c>
      <c r="D45" s="37">
        <v>1.2736</v>
      </c>
      <c r="E45" s="37">
        <v>1.2947</v>
      </c>
      <c r="F45" s="37">
        <v>0.8433</v>
      </c>
      <c r="G45" s="38">
        <v>0.9085</v>
      </c>
      <c r="H45" s="37">
        <v>1.0984</v>
      </c>
      <c r="I45" s="37">
        <v>1.3628</v>
      </c>
      <c r="J45" s="37">
        <v>1.4059</v>
      </c>
      <c r="K45" s="37">
        <v>0.8181</v>
      </c>
      <c r="M45" s="5"/>
    </row>
    <row r="46" spans="1:13" ht="15">
      <c r="A46" s="45" t="s">
        <v>22</v>
      </c>
      <c r="B46" s="46">
        <f aca="true" t="shared" si="3" ref="B46:K46">B45*B14</f>
        <v>17.87031</v>
      </c>
      <c r="C46" s="48">
        <f t="shared" si="3"/>
        <v>429.34399999999994</v>
      </c>
      <c r="D46" s="47">
        <f t="shared" si="3"/>
        <v>7.6416</v>
      </c>
      <c r="E46" s="48">
        <f t="shared" si="3"/>
        <v>161.8375</v>
      </c>
      <c r="F46" s="51">
        <f t="shared" si="3"/>
        <v>81.8001</v>
      </c>
      <c r="G46" s="47">
        <f t="shared" si="3"/>
        <v>28.1635</v>
      </c>
      <c r="H46" s="47">
        <f t="shared" si="3"/>
        <v>15.377600000000001</v>
      </c>
      <c r="I46" s="50">
        <f t="shared" si="3"/>
        <v>340.7</v>
      </c>
      <c r="J46" s="47">
        <f t="shared" si="3"/>
        <v>23.900299999999998</v>
      </c>
      <c r="K46" s="47">
        <f t="shared" si="3"/>
        <v>474.49800000000005</v>
      </c>
      <c r="L46" s="49"/>
      <c r="M46" s="12"/>
    </row>
    <row r="47" spans="1:13" ht="18">
      <c r="A47" t="s">
        <v>30</v>
      </c>
      <c r="B47" s="37">
        <v>0.8633</v>
      </c>
      <c r="C47" s="37">
        <v>1.3417</v>
      </c>
      <c r="D47" s="37">
        <v>1.2736</v>
      </c>
      <c r="E47" s="37">
        <v>1.2947</v>
      </c>
      <c r="F47" s="37">
        <v>0.8433</v>
      </c>
      <c r="G47" s="38">
        <v>0.9085</v>
      </c>
      <c r="H47" s="37">
        <v>1.0984</v>
      </c>
      <c r="I47" s="37">
        <v>1.3628</v>
      </c>
      <c r="J47" s="37">
        <v>1.4059</v>
      </c>
      <c r="K47" s="37">
        <v>0.8181</v>
      </c>
      <c r="M47" s="5"/>
    </row>
    <row r="48" spans="1:13" ht="15">
      <c r="A48" s="45" t="s">
        <v>22</v>
      </c>
      <c r="B48" s="46">
        <f aca="true" t="shared" si="4" ref="B48:K48">B47*B16</f>
        <v>15.79839</v>
      </c>
      <c r="C48" s="48">
        <f t="shared" si="4"/>
        <v>360.91729999999995</v>
      </c>
      <c r="D48" s="47">
        <f t="shared" si="4"/>
        <v>9.29728</v>
      </c>
      <c r="E48" s="48">
        <f t="shared" si="4"/>
        <v>142.417</v>
      </c>
      <c r="F48" s="51">
        <f t="shared" si="4"/>
        <v>70.24689000000001</v>
      </c>
      <c r="G48" s="47">
        <f t="shared" si="4"/>
        <v>28.1635</v>
      </c>
      <c r="H48" s="47">
        <f t="shared" si="4"/>
        <v>20.3204</v>
      </c>
      <c r="I48" s="50">
        <f t="shared" si="4"/>
        <v>218.048</v>
      </c>
      <c r="J48" s="47">
        <f t="shared" si="4"/>
        <v>35.1475</v>
      </c>
      <c r="K48" s="47">
        <f t="shared" si="4"/>
        <v>334.52109</v>
      </c>
      <c r="L48" s="49" t="s">
        <v>28</v>
      </c>
      <c r="M48" s="12"/>
    </row>
    <row r="49" spans="1:13" ht="18">
      <c r="A49" t="s">
        <v>30</v>
      </c>
      <c r="B49" s="37">
        <v>0.8633</v>
      </c>
      <c r="C49" s="37">
        <v>1.3417</v>
      </c>
      <c r="D49" s="37">
        <v>1.2736</v>
      </c>
      <c r="E49" s="37">
        <v>1.2947</v>
      </c>
      <c r="F49" s="37">
        <v>0.8433</v>
      </c>
      <c r="G49" s="38">
        <v>0.9085</v>
      </c>
      <c r="H49" s="37">
        <v>1.0984</v>
      </c>
      <c r="I49" s="37">
        <v>1.3628</v>
      </c>
      <c r="J49" s="37">
        <v>1.4059</v>
      </c>
      <c r="K49" s="37">
        <v>0.8181</v>
      </c>
      <c r="M49" s="5"/>
    </row>
    <row r="50" spans="1:13" ht="15">
      <c r="A50" s="45" t="s">
        <v>22</v>
      </c>
      <c r="B50" s="46">
        <f aca="true" t="shared" si="5" ref="B50:K50">B49*B18</f>
        <v>14.6761</v>
      </c>
      <c r="C50" s="48">
        <f t="shared" si="5"/>
        <v>360.91729999999995</v>
      </c>
      <c r="D50" s="47">
        <f t="shared" si="5"/>
        <v>8.66048</v>
      </c>
      <c r="E50" s="48">
        <f t="shared" si="5"/>
        <v>75.0926</v>
      </c>
      <c r="F50" s="51">
        <f t="shared" si="5"/>
        <v>74.2104</v>
      </c>
      <c r="G50" s="47">
        <f t="shared" si="5"/>
        <v>28.1635</v>
      </c>
      <c r="H50" s="47">
        <f t="shared" si="5"/>
        <v>18.672800000000002</v>
      </c>
      <c r="I50" s="50">
        <f t="shared" si="5"/>
        <v>102.21000000000001</v>
      </c>
      <c r="J50" s="47">
        <f t="shared" si="5"/>
        <v>32.616879999999995</v>
      </c>
      <c r="K50" s="47">
        <f t="shared" si="5"/>
        <v>474.49800000000005</v>
      </c>
      <c r="L50" s="49" t="s">
        <v>28</v>
      </c>
      <c r="M50" s="12"/>
    </row>
    <row r="51" spans="1:13" ht="18">
      <c r="A51" t="s">
        <v>30</v>
      </c>
      <c r="B51" s="37">
        <v>0.8633</v>
      </c>
      <c r="C51" s="37">
        <v>1.3417</v>
      </c>
      <c r="D51" s="37">
        <v>1.2736</v>
      </c>
      <c r="E51" s="37">
        <v>1.2947</v>
      </c>
      <c r="F51" s="37">
        <v>0.8433</v>
      </c>
      <c r="G51" s="38">
        <v>0.9085</v>
      </c>
      <c r="H51" s="37">
        <v>1.0984</v>
      </c>
      <c r="I51" s="37">
        <v>1.3628</v>
      </c>
      <c r="J51" s="37">
        <v>1.4059</v>
      </c>
      <c r="K51" s="37">
        <v>0.8181</v>
      </c>
      <c r="M51" s="5"/>
    </row>
    <row r="52" spans="1:13" ht="15">
      <c r="A52" s="45" t="s">
        <v>22</v>
      </c>
      <c r="B52" s="46">
        <f aca="true" t="shared" si="6" ref="B52:K52">B51*B20</f>
        <v>17.87031</v>
      </c>
      <c r="C52" s="48">
        <f t="shared" si="6"/>
        <v>222.7222</v>
      </c>
      <c r="D52" s="47">
        <f t="shared" si="6"/>
        <v>9.04256</v>
      </c>
      <c r="E52" s="48">
        <f t="shared" si="6"/>
        <v>75.0926</v>
      </c>
      <c r="F52" s="51">
        <f t="shared" si="6"/>
        <v>81.251955</v>
      </c>
      <c r="G52" s="47">
        <f t="shared" si="6"/>
        <v>28.1635</v>
      </c>
      <c r="H52" s="47">
        <f t="shared" si="6"/>
        <v>19.44168</v>
      </c>
      <c r="I52" s="50">
        <f t="shared" si="6"/>
        <v>102.21000000000001</v>
      </c>
      <c r="J52" s="47">
        <f t="shared" si="6"/>
        <v>25.306199999999997</v>
      </c>
      <c r="K52" s="47">
        <f t="shared" si="6"/>
        <v>474.49800000000005</v>
      </c>
      <c r="L52" s="49" t="s">
        <v>28</v>
      </c>
      <c r="M52" s="12"/>
    </row>
    <row r="53" spans="1:13" ht="18">
      <c r="A53" t="s">
        <v>30</v>
      </c>
      <c r="B53" s="37">
        <v>0.8633</v>
      </c>
      <c r="C53" s="37">
        <v>1.3417</v>
      </c>
      <c r="D53" s="37">
        <v>1.2736</v>
      </c>
      <c r="E53" s="37">
        <v>1.2947</v>
      </c>
      <c r="F53" s="37">
        <v>0.8433</v>
      </c>
      <c r="G53" s="38">
        <v>0.9085</v>
      </c>
      <c r="H53" s="37">
        <v>1.0984</v>
      </c>
      <c r="I53" s="37">
        <v>1.3628</v>
      </c>
      <c r="J53" s="37">
        <v>1.4059</v>
      </c>
      <c r="K53" s="37">
        <v>0.8181</v>
      </c>
      <c r="M53" s="5"/>
    </row>
    <row r="54" spans="1:13" ht="15">
      <c r="A54" s="45" t="s">
        <v>22</v>
      </c>
      <c r="B54" s="46">
        <f aca="true" t="shared" si="7" ref="B54:K54">B53*B22</f>
        <v>17.87031</v>
      </c>
      <c r="C54" s="48">
        <f t="shared" si="7"/>
        <v>222.7222</v>
      </c>
      <c r="D54" s="47">
        <f t="shared" si="7"/>
        <v>7.06848</v>
      </c>
      <c r="E54" s="48">
        <f t="shared" si="7"/>
        <v>75.0926</v>
      </c>
      <c r="F54" s="51">
        <f t="shared" si="7"/>
        <v>81.251955</v>
      </c>
      <c r="G54" s="47">
        <f t="shared" si="7"/>
        <v>28.1635</v>
      </c>
      <c r="H54" s="47">
        <f t="shared" si="7"/>
        <v>4.0970320000000005</v>
      </c>
      <c r="I54" s="50">
        <f t="shared" si="7"/>
        <v>102.21000000000001</v>
      </c>
      <c r="J54" s="47">
        <f t="shared" si="7"/>
        <v>7.099794999999999</v>
      </c>
      <c r="K54" s="47">
        <f t="shared" si="7"/>
        <v>474.49800000000005</v>
      </c>
      <c r="L54" s="49" t="s">
        <v>28</v>
      </c>
      <c r="M54" s="12"/>
    </row>
    <row r="55" spans="1:13" ht="18">
      <c r="A55" t="s">
        <v>30</v>
      </c>
      <c r="B55" s="37">
        <v>0.8633</v>
      </c>
      <c r="C55" s="37">
        <v>1.3417</v>
      </c>
      <c r="D55" s="37">
        <v>1.2736</v>
      </c>
      <c r="E55" s="37">
        <v>1.2947</v>
      </c>
      <c r="F55" s="37">
        <v>0.8433</v>
      </c>
      <c r="G55" s="38">
        <v>0.9085</v>
      </c>
      <c r="H55" s="37">
        <v>1.0984</v>
      </c>
      <c r="I55" s="37">
        <v>1.3628</v>
      </c>
      <c r="J55" s="37">
        <v>1.4059</v>
      </c>
      <c r="K55" s="37">
        <v>0.8181</v>
      </c>
      <c r="M55" s="5"/>
    </row>
    <row r="56" spans="1:13" ht="15">
      <c r="A56" s="45" t="s">
        <v>22</v>
      </c>
      <c r="B56" s="46">
        <f aca="true" t="shared" si="8" ref="B56:K56">B55*B24</f>
        <v>17.87031</v>
      </c>
      <c r="C56" s="48">
        <f t="shared" si="8"/>
        <v>222.7222</v>
      </c>
      <c r="D56" s="47">
        <f t="shared" si="8"/>
        <v>12.0992</v>
      </c>
      <c r="E56" s="48">
        <f t="shared" si="8"/>
        <v>75.0926</v>
      </c>
      <c r="F56" s="51">
        <f t="shared" si="8"/>
        <v>81.251955</v>
      </c>
      <c r="G56" s="47">
        <f t="shared" si="8"/>
        <v>28.1635</v>
      </c>
      <c r="H56" s="47">
        <f t="shared" si="8"/>
        <v>23.6156</v>
      </c>
      <c r="I56" s="50">
        <f t="shared" si="8"/>
        <v>102.21000000000001</v>
      </c>
      <c r="J56" s="47">
        <f t="shared" si="8"/>
        <v>34.58514</v>
      </c>
      <c r="K56" s="47">
        <f t="shared" si="8"/>
        <v>474.49800000000005</v>
      </c>
      <c r="L56" s="49" t="s">
        <v>28</v>
      </c>
      <c r="M56" s="12"/>
    </row>
    <row r="57" spans="1:13" ht="18">
      <c r="A57" t="s">
        <v>30</v>
      </c>
      <c r="B57" s="37">
        <v>0.8633</v>
      </c>
      <c r="C57" s="37">
        <v>1.3417</v>
      </c>
      <c r="D57" s="37">
        <v>1.2736</v>
      </c>
      <c r="E57" s="37">
        <v>1.2947</v>
      </c>
      <c r="F57" s="37">
        <v>0.8433</v>
      </c>
      <c r="G57" s="38">
        <v>0.9085</v>
      </c>
      <c r="H57" s="37">
        <v>1.0984</v>
      </c>
      <c r="I57" s="37">
        <v>1.3628</v>
      </c>
      <c r="J57" s="37">
        <v>1.4059</v>
      </c>
      <c r="K57" s="37">
        <v>0.8181</v>
      </c>
      <c r="M57" s="5"/>
    </row>
    <row r="58" spans="1:13" ht="15">
      <c r="A58" s="45" t="s">
        <v>22</v>
      </c>
      <c r="B58" s="46">
        <f aca="true" t="shared" si="9" ref="B58:K58">B57*B26</f>
        <v>17.87031</v>
      </c>
      <c r="C58" s="48">
        <f t="shared" si="9"/>
        <v>275.0485</v>
      </c>
      <c r="D58" s="47">
        <f t="shared" si="9"/>
        <v>11.90816</v>
      </c>
      <c r="E58" s="48">
        <f t="shared" si="9"/>
        <v>148.8905</v>
      </c>
      <c r="F58" s="51">
        <f t="shared" si="9"/>
        <v>81.251955</v>
      </c>
      <c r="G58" s="47">
        <f t="shared" si="9"/>
        <v>28.1635</v>
      </c>
      <c r="H58" s="47">
        <f t="shared" si="9"/>
        <v>24.714000000000002</v>
      </c>
      <c r="I58" s="50">
        <f t="shared" si="9"/>
        <v>102.21000000000001</v>
      </c>
      <c r="J58" s="47">
        <f t="shared" si="9"/>
        <v>40.068149999999996</v>
      </c>
      <c r="K58" s="47">
        <f t="shared" si="9"/>
        <v>474.49800000000005</v>
      </c>
      <c r="L58" s="49" t="s">
        <v>28</v>
      </c>
      <c r="M58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 Invia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Martti Näveri</dc:creator>
  <cp:keywords/>
  <dc:description/>
  <cp:lastModifiedBy>stmmnav</cp:lastModifiedBy>
  <cp:lastPrinted>2007-09-23T16:52:26Z</cp:lastPrinted>
  <dcterms:created xsi:type="dcterms:W3CDTF">2003-08-11T08:48:21Z</dcterms:created>
  <dcterms:modified xsi:type="dcterms:W3CDTF">2009-09-28T13:29:59Z</dcterms:modified>
  <cp:category/>
  <cp:version/>
  <cp:contentType/>
  <cp:contentStatus/>
</cp:coreProperties>
</file>