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2120" activeTab="0"/>
  </bookViews>
  <sheets>
    <sheet name="O6-results and basic formulas" sheetId="1" r:id="rId1"/>
    <sheet name="03konvertoidut" sheetId="2" r:id="rId2"/>
    <sheet name="Sheet7" sheetId="3" r:id="rId3"/>
    <sheet name="Sheet8" sheetId="4" r:id="rId4"/>
    <sheet name="Sheet9" sheetId="5" r:id="rId5"/>
    <sheet name="Sheet10" sheetId="6" r:id="rId6"/>
  </sheets>
  <definedNames>
    <definedName name="T100m">'O6-results and basic formulas'!$B$117</definedName>
    <definedName name="T1500m">'O6-results and basic formulas'!$K$117</definedName>
    <definedName name="T400m">'O6-results and basic formulas'!$F$117</definedName>
    <definedName name="TAidat">'O6-results and basic formulas'!$G$117</definedName>
    <definedName name="TKeihäs">'O6-results and basic formulas'!$J$117</definedName>
    <definedName name="TKiekko">'O6-results and basic formulas'!$H$117</definedName>
    <definedName name="TKorkeus">'O6-results and basic formulas'!$E$117</definedName>
    <definedName name="TKuula">'O6-results and basic formulas'!$D$117</definedName>
    <definedName name="TPituus">'O6-results and basic formulas'!$C$117</definedName>
    <definedName name="Tsata">'O6-results and basic formulas'!$B$117</definedName>
    <definedName name="TSeiväs">'O6-results and basic formulas'!$I$117</definedName>
    <definedName name="_xlnm.Print_Area" localSheetId="0">'O6-results and basic formulas'!$A$1:$P$58</definedName>
  </definedNames>
  <calcPr fullCalcOnLoad="1"/>
</workbook>
</file>

<file path=xl/sharedStrings.xml><?xml version="1.0" encoding="utf-8"?>
<sst xmlns="http://schemas.openxmlformats.org/spreadsheetml/2006/main" count="406" uniqueCount="156">
  <si>
    <t>100 m</t>
  </si>
  <si>
    <t>Long Jump</t>
  </si>
  <si>
    <t>Shot Put</t>
  </si>
  <si>
    <t>High Jump</t>
  </si>
  <si>
    <t>400m</t>
  </si>
  <si>
    <t>Hurdles</t>
  </si>
  <si>
    <t>Discus</t>
  </si>
  <si>
    <t>Pole Vault</t>
  </si>
  <si>
    <t>Javelin</t>
  </si>
  <si>
    <t>1500m</t>
  </si>
  <si>
    <t>Total</t>
  </si>
  <si>
    <t>seconds</t>
  </si>
  <si>
    <t>centimeters</t>
  </si>
  <si>
    <t>meters</t>
  </si>
  <si>
    <t>Ansku</t>
  </si>
  <si>
    <t>Points Women</t>
  </si>
  <si>
    <t>N1</t>
  </si>
  <si>
    <t>Points Men</t>
  </si>
  <si>
    <t>PB</t>
  </si>
  <si>
    <t>Janne</t>
  </si>
  <si>
    <t>Points M40</t>
  </si>
  <si>
    <t>Kimmo Kivelä</t>
  </si>
  <si>
    <t>Kimmo Pisteet</t>
  </si>
  <si>
    <t>Jari Harjunpää</t>
  </si>
  <si>
    <t>Jari Ha Pisteet</t>
  </si>
  <si>
    <t>Changes of the tools in veteran age classes</t>
  </si>
  <si>
    <t>50: 6 kg</t>
  </si>
  <si>
    <t>50: 1,5 kg</t>
  </si>
  <si>
    <t>50: 700g</t>
  </si>
  <si>
    <t>60: 5 kg</t>
  </si>
  <si>
    <t>60:100/84</t>
  </si>
  <si>
    <t>60: 1,0 kg</t>
  </si>
  <si>
    <t>60: 600g</t>
  </si>
  <si>
    <t>Points M45</t>
  </si>
  <si>
    <t>Points M60</t>
  </si>
  <si>
    <t xml:space="preserve">Artturi  </t>
  </si>
  <si>
    <t>Timppa</t>
  </si>
  <si>
    <t>Masa</t>
  </si>
  <si>
    <t>Asko</t>
  </si>
  <si>
    <t xml:space="preserve">Kille </t>
  </si>
  <si>
    <t>Points M50</t>
  </si>
  <si>
    <t>Scoring formulas</t>
  </si>
  <si>
    <t>Men</t>
  </si>
  <si>
    <t>Result</t>
  </si>
  <si>
    <t>Points</t>
  </si>
  <si>
    <t>Women</t>
  </si>
  <si>
    <t>Formulas from the official hepathlon tables where available, others with suitable approximation from neighbouring events</t>
  </si>
  <si>
    <r>
      <t>40:110/</t>
    </r>
    <r>
      <rPr>
        <b/>
        <sz val="10"/>
        <rFont val="Arial"/>
        <family val="2"/>
      </rPr>
      <t>99,2</t>
    </r>
  </si>
  <si>
    <r>
      <t xml:space="preserve">50: </t>
    </r>
    <r>
      <rPr>
        <b/>
        <sz val="10"/>
        <rFont val="Arial"/>
        <family val="2"/>
      </rPr>
      <t>100</t>
    </r>
    <r>
      <rPr>
        <sz val="10"/>
        <rFont val="Arial"/>
        <family val="2"/>
      </rPr>
      <t>/91,4</t>
    </r>
  </si>
  <si>
    <r>
      <t>60:</t>
    </r>
    <r>
      <rPr>
        <b/>
        <sz val="10"/>
        <rFont val="Arial"/>
        <family val="2"/>
      </rPr>
      <t>100</t>
    </r>
    <r>
      <rPr>
        <sz val="10"/>
        <rFont val="Arial"/>
        <family val="2"/>
      </rPr>
      <t>/84</t>
    </r>
  </si>
  <si>
    <t>70: 4 kg</t>
  </si>
  <si>
    <r>
      <t>70:</t>
    </r>
    <r>
      <rPr>
        <b/>
        <sz val="10"/>
        <rFont val="Arial"/>
        <family val="2"/>
      </rPr>
      <t>80</t>
    </r>
    <r>
      <rPr>
        <sz val="10"/>
        <rFont val="Arial"/>
        <family val="2"/>
      </rPr>
      <t>/76</t>
    </r>
  </si>
  <si>
    <t>70: 500g</t>
  </si>
  <si>
    <t>80: 400g</t>
  </si>
  <si>
    <t xml:space="preserve">The veteran age factors </t>
  </si>
  <si>
    <t>Age</t>
  </si>
  <si>
    <t>100+</t>
  </si>
  <si>
    <t xml:space="preserve">Veteran scoring examples </t>
  </si>
  <si>
    <t>Tulos</t>
  </si>
  <si>
    <t>Pisteet-35</t>
  </si>
  <si>
    <t>Pisteet-40</t>
  </si>
  <si>
    <t>Pisteet-45</t>
  </si>
  <si>
    <t>Pisteet-50</t>
  </si>
  <si>
    <t>Pisteet-55</t>
  </si>
  <si>
    <t>Other examples</t>
  </si>
  <si>
    <t>World record</t>
  </si>
  <si>
    <t>1000-p level</t>
  </si>
  <si>
    <t>900 p level</t>
  </si>
  <si>
    <t>800 p level</t>
  </si>
  <si>
    <t>500 p level</t>
  </si>
  <si>
    <t>1 p level</t>
  </si>
  <si>
    <t>without age factors</t>
  </si>
  <si>
    <t>Yhteensä</t>
  </si>
  <si>
    <t>LASSE 03 -result</t>
  </si>
  <si>
    <t>55 factor</t>
  </si>
  <si>
    <t>Converted result</t>
  </si>
  <si>
    <t>Pisteet</t>
  </si>
  <si>
    <t>1 p level - 55</t>
  </si>
  <si>
    <t>Ikäkerroin-55</t>
  </si>
  <si>
    <t>Konv. tulos</t>
  </si>
  <si>
    <t>500 p level for different age classes</t>
  </si>
  <si>
    <t>Ikä</t>
  </si>
  <si>
    <t>Kerroin</t>
  </si>
  <si>
    <t>500-vastine</t>
  </si>
  <si>
    <t>6.19,78</t>
  </si>
  <si>
    <t>Välinemuutokset</t>
  </si>
  <si>
    <t>* Välinemuutosten vaikutukset arvioitu</t>
  </si>
  <si>
    <t>100m</t>
  </si>
  <si>
    <t>Pituus</t>
  </si>
  <si>
    <t>Kuula*</t>
  </si>
  <si>
    <t>Korkeus</t>
  </si>
  <si>
    <t>Aidat*</t>
  </si>
  <si>
    <t>Kiekko*</t>
  </si>
  <si>
    <t>Seiväs</t>
  </si>
  <si>
    <t>Keihäs*</t>
  </si>
  <si>
    <t>LASSE 03</t>
  </si>
  <si>
    <t xml:space="preserve">  5.43,7</t>
  </si>
  <si>
    <t>Vesa K</t>
  </si>
  <si>
    <t xml:space="preserve">  5.43,2</t>
  </si>
  <si>
    <t>Artturi</t>
  </si>
  <si>
    <t>6.17,1</t>
  </si>
  <si>
    <t>Vesa Ka</t>
  </si>
  <si>
    <t>9.40,00</t>
  </si>
  <si>
    <t>Erkki</t>
  </si>
  <si>
    <t>6.48,9</t>
  </si>
  <si>
    <t>Risto</t>
  </si>
  <si>
    <t>Olavi</t>
  </si>
  <si>
    <t>Martti</t>
  </si>
  <si>
    <t>Kimmo</t>
  </si>
  <si>
    <t>Marko</t>
  </si>
  <si>
    <t>Tadek</t>
  </si>
  <si>
    <t>Jari</t>
  </si>
  <si>
    <t>4.41,18</t>
  </si>
  <si>
    <t>Tadek-50</t>
  </si>
  <si>
    <t>M45</t>
  </si>
  <si>
    <t>Sakari</t>
  </si>
  <si>
    <t>M55</t>
  </si>
  <si>
    <t>Points M55</t>
  </si>
  <si>
    <t>Ashton EATON</t>
  </si>
  <si>
    <t>London1</t>
  </si>
  <si>
    <t>Points M65</t>
  </si>
  <si>
    <t>M40</t>
  </si>
  <si>
    <t>Arto</t>
  </si>
  <si>
    <t>M60-pisteille</t>
  </si>
  <si>
    <t>40:110/99,2</t>
  </si>
  <si>
    <t>50: 100/91,4</t>
  </si>
  <si>
    <t>Atte</t>
  </si>
  <si>
    <t>Pete</t>
  </si>
  <si>
    <t>Netta</t>
  </si>
  <si>
    <t>Run</t>
  </si>
  <si>
    <t>Jump</t>
  </si>
  <si>
    <t>Throw</t>
  </si>
  <si>
    <t>M35-1</t>
  </si>
  <si>
    <t>M40-1</t>
  </si>
  <si>
    <t>M8-1</t>
  </si>
  <si>
    <t>M8-2</t>
  </si>
  <si>
    <t>N2-1</t>
  </si>
  <si>
    <t>M50-1</t>
  </si>
  <si>
    <t>Points M8(0)</t>
  </si>
  <si>
    <t>Points 100</t>
  </si>
  <si>
    <t>Pos.</t>
  </si>
  <si>
    <t xml:space="preserve">Make </t>
  </si>
  <si>
    <t>XXXVDecathlon</t>
  </si>
  <si>
    <t>Pukinmäki 20.9.2014</t>
  </si>
  <si>
    <t xml:space="preserve">Lasse </t>
  </si>
  <si>
    <t>Lasse EM</t>
  </si>
  <si>
    <t>Jukka</t>
  </si>
  <si>
    <t>Vesa</t>
  </si>
  <si>
    <t>M65-1</t>
  </si>
  <si>
    <t>M60-1</t>
  </si>
  <si>
    <t>M60-2</t>
  </si>
  <si>
    <t>M65-2</t>
  </si>
  <si>
    <t>M65-3</t>
  </si>
  <si>
    <t>M65-4</t>
  </si>
  <si>
    <t>M65-5</t>
  </si>
  <si>
    <t>M65-6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</si>
</sst>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,##0&quot;       &quot;;\-#,##0&quot;       &quot;;&quot; -       &quot;;@\ "/>
    <numFmt numFmtId="165" formatCode="0.0"/>
    <numFmt numFmtId="166" formatCode="\ #,##0.00&quot;       &quot;;\-#,##0.00&quot;       &quot;;&quot; -&quot;#&quot;       &quot;;@\ "/>
    <numFmt numFmtId="167" formatCode="mm/yy"/>
    <numFmt numFmtId="168" formatCode="0.0000"/>
    <numFmt numFmtId="169" formatCode="0.000"/>
    <numFmt numFmtId="170" formatCode="#,##0\ ;\-#,##0\ "/>
    <numFmt numFmtId="171" formatCode="_-* #,##0.00_-;\-* #,##0.00_-;_-* &quot;-&quot;??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&quot;£&quot;* #,##0_-;\-&quot;£&quot;* #,##0_-;_-&quot;£&quot;* &quot;-&quot;_-;_-@_-"/>
    <numFmt numFmtId="175" formatCode="_-* #,##0.00\ _m_k_-;\-* #,##0.00\ _m_k_-;_-* &quot;-&quot;??\ _m_k_-;_-@_-"/>
    <numFmt numFmtId="176" formatCode="_-* #,##0\ _m_k_-;\-* #,##0\ _m_k_-;_-* &quot;-&quot;\ _m_k_-;_-@_-"/>
    <numFmt numFmtId="177" formatCode="_-* #,##0.00\ &quot;mk&quot;_-;\-* #,##0.00\ &quot;mk&quot;_-;_-* &quot;-&quot;??\ &quot;mk&quot;_-;_-@_-"/>
    <numFmt numFmtId="178" formatCode="_-* #,##0\ &quot;mk&quot;_-;\-* #,##0\ &quot;mk&quot;_-;_-* &quot;-&quot;\ &quot;mk&quot;_-;_-@_-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Alignment="0" applyProtection="0"/>
    <xf numFmtId="0" fontId="3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21" borderId="2" applyNumberFormat="0" applyAlignment="0" applyProtection="0"/>
    <xf numFmtId="0" fontId="12" fillId="0" borderId="3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1" fillId="7" borderId="2" applyNumberFormat="0" applyAlignment="0" applyProtection="0"/>
    <xf numFmtId="0" fontId="5" fillId="23" borderId="8" applyNumberFormat="0" applyAlignment="0" applyProtection="0"/>
    <xf numFmtId="0" fontId="14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/>
    </xf>
    <xf numFmtId="2" fontId="21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164" fontId="22" fillId="22" borderId="12" xfId="0" applyNumberFormat="1" applyFont="1" applyFill="1" applyBorder="1" applyAlignment="1">
      <alignment/>
    </xf>
    <xf numFmtId="164" fontId="22" fillId="22" borderId="12" xfId="54" applyFont="1" applyFill="1" applyBorder="1" applyAlignment="1" applyProtection="1">
      <alignment horizontal="center"/>
      <protection/>
    </xf>
    <xf numFmtId="0" fontId="22" fillId="22" borderId="12" xfId="0" applyFont="1" applyFill="1" applyBorder="1" applyAlignment="1">
      <alignment/>
    </xf>
    <xf numFmtId="164" fontId="20" fillId="22" borderId="13" xfId="0" applyNumberFormat="1" applyFont="1" applyFill="1" applyBorder="1" applyAlignment="1">
      <alignment/>
    </xf>
    <xf numFmtId="164" fontId="20" fillId="22" borderId="12" xfId="0" applyNumberFormat="1" applyFont="1" applyFill="1" applyBorder="1" applyAlignment="1">
      <alignment horizontal="center"/>
    </xf>
    <xf numFmtId="164" fontId="22" fillId="22" borderId="12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/>
    </xf>
    <xf numFmtId="2" fontId="21" fillId="0" borderId="10" xfId="54" applyNumberFormat="1" applyFont="1" applyFill="1" applyBorder="1" applyAlignment="1" applyProtection="1">
      <alignment horizontal="center"/>
      <protection/>
    </xf>
    <xf numFmtId="1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22" fillId="0" borderId="0" xfId="54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164" fontId="22" fillId="22" borderId="14" xfId="54" applyFont="1" applyFill="1" applyBorder="1" applyAlignment="1" applyProtection="1">
      <alignment horizontal="center"/>
      <protection/>
    </xf>
    <xf numFmtId="0" fontId="22" fillId="22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65" fontId="21" fillId="0" borderId="10" xfId="54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horizontal="center"/>
    </xf>
    <xf numFmtId="164" fontId="22" fillId="0" borderId="0" xfId="54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/>
    </xf>
    <xf numFmtId="164" fontId="20" fillId="0" borderId="11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8" fillId="0" borderId="0" xfId="54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 horizontal="center"/>
    </xf>
    <xf numFmtId="0" fontId="0" fillId="22" borderId="12" xfId="0" applyFill="1" applyBorder="1" applyAlignment="1">
      <alignment/>
    </xf>
    <xf numFmtId="166" fontId="21" fillId="0" borderId="10" xfId="53" applyFont="1" applyFill="1" applyBorder="1" applyAlignment="1" applyProtection="1">
      <alignment horizontal="center"/>
      <protection/>
    </xf>
    <xf numFmtId="164" fontId="21" fillId="0" borderId="0" xfId="54" applyFont="1" applyFill="1" applyBorder="1" applyAlignment="1" applyProtection="1">
      <alignment horizontal="center"/>
      <protection/>
    </xf>
    <xf numFmtId="166" fontId="21" fillId="0" borderId="0" xfId="53" applyFont="1" applyFill="1" applyBorder="1" applyAlignment="1" applyProtection="1">
      <alignment horizontal="center"/>
      <protection/>
    </xf>
    <xf numFmtId="0" fontId="24" fillId="0" borderId="11" xfId="0" applyFont="1" applyBorder="1" applyAlignment="1">
      <alignment/>
    </xf>
    <xf numFmtId="164" fontId="20" fillId="22" borderId="13" xfId="0" applyNumberFormat="1" applyFont="1" applyFill="1" applyBorder="1" applyAlignment="1">
      <alignment/>
    </xf>
    <xf numFmtId="164" fontId="22" fillId="22" borderId="15" xfId="54" applyFont="1" applyFill="1" applyBorder="1" applyAlignment="1" applyProtection="1">
      <alignment horizontal="center"/>
      <protection/>
    </xf>
    <xf numFmtId="164" fontId="21" fillId="22" borderId="12" xfId="54" applyFont="1" applyFill="1" applyBorder="1" applyAlignment="1" applyProtection="1">
      <alignment horizontal="center"/>
      <protection/>
    </xf>
    <xf numFmtId="166" fontId="21" fillId="0" borderId="0" xfId="53" applyFont="1" applyFill="1" applyBorder="1" applyAlignment="1" applyProtection="1">
      <alignment/>
      <protection/>
    </xf>
    <xf numFmtId="164" fontId="22" fillId="22" borderId="12" xfId="0" applyNumberFormat="1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20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20" fillId="0" borderId="0" xfId="0" applyNumberFormat="1" applyFont="1" applyAlignment="1">
      <alignment/>
    </xf>
    <xf numFmtId="164" fontId="20" fillId="0" borderId="0" xfId="0" applyNumberFormat="1" applyFont="1" applyAlignment="1">
      <alignment horizontal="center"/>
    </xf>
    <xf numFmtId="46" fontId="20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0" fillId="0" borderId="11" xfId="0" applyFont="1" applyFill="1" applyBorder="1" applyAlignment="1">
      <alignment horizontal="left"/>
    </xf>
    <xf numFmtId="166" fontId="21" fillId="0" borderId="0" xfId="53" applyFont="1" applyFill="1" applyBorder="1" applyAlignment="1" applyProtection="1">
      <alignment horizontal="left"/>
      <protection/>
    </xf>
    <xf numFmtId="164" fontId="22" fillId="22" borderId="12" xfId="54" applyFont="1" applyFill="1" applyBorder="1" applyAlignment="1" applyProtection="1">
      <alignment horizontal="left"/>
      <protection/>
    </xf>
    <xf numFmtId="1" fontId="21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164" fontId="25" fillId="22" borderId="12" xfId="0" applyNumberFormat="1" applyFont="1" applyFill="1" applyBorder="1" applyAlignment="1">
      <alignment/>
    </xf>
    <xf numFmtId="0" fontId="22" fillId="22" borderId="14" xfId="0" applyFont="1" applyFill="1" applyBorder="1" applyAlignment="1">
      <alignment/>
    </xf>
    <xf numFmtId="2" fontId="21" fillId="0" borderId="0" xfId="54" applyNumberFormat="1" applyFont="1" applyFill="1" applyBorder="1" applyAlignment="1" applyProtection="1">
      <alignment horizontal="center"/>
      <protection/>
    </xf>
    <xf numFmtId="164" fontId="20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6" fontId="22" fillId="0" borderId="16" xfId="53" applyFont="1" applyFill="1" applyBorder="1" applyAlignment="1" applyProtection="1">
      <alignment horizontal="center"/>
      <protection/>
    </xf>
    <xf numFmtId="166" fontId="22" fillId="0" borderId="0" xfId="53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64" fontId="22" fillId="0" borderId="14" xfId="54" applyFont="1" applyFill="1" applyBorder="1" applyAlignment="1" applyProtection="1">
      <alignment horizontal="center"/>
      <protection/>
    </xf>
    <xf numFmtId="164" fontId="22" fillId="0" borderId="12" xfId="54" applyFont="1" applyFill="1" applyBorder="1" applyAlignment="1" applyProtection="1">
      <alignment horizontal="center"/>
      <protection/>
    </xf>
    <xf numFmtId="164" fontId="18" fillId="0" borderId="0" xfId="54" applyFont="1" applyFill="1" applyBorder="1" applyAlignment="1" applyProtection="1">
      <alignment horizontal="left"/>
      <protection/>
    </xf>
    <xf numFmtId="164" fontId="18" fillId="0" borderId="0" xfId="54" applyFont="1" applyFill="1" applyBorder="1" applyAlignment="1" applyProtection="1">
      <alignment/>
      <protection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164" fontId="21" fillId="0" borderId="13" xfId="0" applyNumberFormat="1" applyFont="1" applyBorder="1" applyAlignment="1">
      <alignment/>
    </xf>
    <xf numFmtId="164" fontId="21" fillId="0" borderId="12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46" fontId="0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20" fillId="0" borderId="0" xfId="0" applyFont="1" applyAlignment="1">
      <alignment/>
    </xf>
    <xf numFmtId="164" fontId="18" fillId="0" borderId="16" xfId="54" applyFont="1" applyFill="1" applyBorder="1" applyAlignment="1" applyProtection="1">
      <alignment horizontal="center"/>
      <protection/>
    </xf>
    <xf numFmtId="0" fontId="18" fillId="0" borderId="19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4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6" xfId="0" applyFont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166" fontId="0" fillId="0" borderId="16" xfId="53" applyFont="1" applyFill="1" applyBorder="1" applyAlignment="1" applyProtection="1">
      <alignment horizontal="right"/>
      <protection/>
    </xf>
    <xf numFmtId="164" fontId="0" fillId="0" borderId="0" xfId="54" applyFont="1" applyFill="1" applyBorder="1" applyAlignment="1" applyProtection="1">
      <alignment/>
      <protection/>
    </xf>
    <xf numFmtId="166" fontId="0" fillId="0" borderId="0" xfId="53" applyFont="1" applyFill="1" applyBorder="1" applyAlignment="1" applyProtection="1">
      <alignment/>
      <protection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2" fontId="23" fillId="0" borderId="18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23" fillId="24" borderId="0" xfId="0" applyNumberFormat="1" applyFont="1" applyFill="1" applyAlignment="1">
      <alignment horizontal="center"/>
    </xf>
    <xf numFmtId="164" fontId="18" fillId="0" borderId="18" xfId="54" applyFont="1" applyFill="1" applyBorder="1" applyAlignment="1" applyProtection="1">
      <alignment horizontal="center"/>
      <protection/>
    </xf>
    <xf numFmtId="164" fontId="18" fillId="0" borderId="12" xfId="54" applyFont="1" applyFill="1" applyBorder="1" applyAlignment="1" applyProtection="1">
      <alignment/>
      <protection/>
    </xf>
    <xf numFmtId="164" fontId="20" fillId="0" borderId="12" xfId="0" applyNumberFormat="1" applyFont="1" applyBorder="1" applyAlignment="1">
      <alignment/>
    </xf>
    <xf numFmtId="164" fontId="2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18" fillId="0" borderId="16" xfId="54" applyNumberFormat="1" applyFont="1" applyFill="1" applyBorder="1" applyAlignment="1" applyProtection="1">
      <alignment horizontal="center"/>
      <protection/>
    </xf>
    <xf numFmtId="2" fontId="18" fillId="0" borderId="0" xfId="54" applyNumberFormat="1" applyFont="1" applyFill="1" applyBorder="1" applyAlignment="1" applyProtection="1">
      <alignment horizontal="center"/>
      <protection/>
    </xf>
    <xf numFmtId="169" fontId="0" fillId="0" borderId="16" xfId="53" applyNumberFormat="1" applyFont="1" applyFill="1" applyBorder="1" applyAlignment="1" applyProtection="1">
      <alignment horizontal="center"/>
      <protection/>
    </xf>
    <xf numFmtId="165" fontId="0" fillId="0" borderId="0" xfId="54" applyNumberFormat="1" applyFont="1" applyFill="1" applyBorder="1" applyAlignment="1" applyProtection="1">
      <alignment horizontal="center"/>
      <protection/>
    </xf>
    <xf numFmtId="0" fontId="22" fillId="0" borderId="20" xfId="0" applyFont="1" applyBorder="1" applyAlignment="1">
      <alignment/>
    </xf>
    <xf numFmtId="164" fontId="18" fillId="0" borderId="21" xfId="54" applyFont="1" applyFill="1" applyBorder="1" applyAlignment="1" applyProtection="1">
      <alignment horizontal="center"/>
      <protection/>
    </xf>
    <xf numFmtId="164" fontId="18" fillId="0" borderId="20" xfId="54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164" fontId="20" fillId="0" borderId="20" xfId="0" applyNumberFormat="1" applyFont="1" applyBorder="1" applyAlignment="1">
      <alignment/>
    </xf>
    <xf numFmtId="166" fontId="18" fillId="0" borderId="16" xfId="53" applyFont="1" applyFill="1" applyBorder="1" applyAlignment="1" applyProtection="1">
      <alignment horizontal="right"/>
      <protection/>
    </xf>
    <xf numFmtId="166" fontId="18" fillId="0" borderId="0" xfId="53" applyFont="1" applyFill="1" applyBorder="1" applyAlignment="1" applyProtection="1">
      <alignment/>
      <protection/>
    </xf>
    <xf numFmtId="164" fontId="2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8" fillId="0" borderId="0" xfId="0" applyFont="1" applyAlignment="1">
      <alignment/>
    </xf>
    <xf numFmtId="2" fontId="21" fillId="0" borderId="16" xfId="0" applyNumberFormat="1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18" fillId="24" borderId="19" xfId="0" applyFont="1" applyFill="1" applyBorder="1" applyAlignment="1">
      <alignment horizontal="center"/>
    </xf>
    <xf numFmtId="166" fontId="0" fillId="0" borderId="18" xfId="53" applyFont="1" applyFill="1" applyBorder="1" applyAlignment="1" applyProtection="1">
      <alignment horizontal="right"/>
      <protection/>
    </xf>
    <xf numFmtId="164" fontId="0" fillId="0" borderId="22" xfId="53" applyNumberFormat="1" applyFont="1" applyFill="1" applyBorder="1" applyAlignment="1" applyProtection="1">
      <alignment horizontal="right"/>
      <protection/>
    </xf>
    <xf numFmtId="166" fontId="0" fillId="0" borderId="22" xfId="53" applyFont="1" applyFill="1" applyBorder="1" applyAlignment="1" applyProtection="1">
      <alignment horizontal="right"/>
      <protection/>
    </xf>
    <xf numFmtId="166" fontId="0" fillId="0" borderId="22" xfId="53" applyFont="1" applyFill="1" applyBorder="1" applyAlignment="1" applyProtection="1">
      <alignment horizontal="center"/>
      <protection/>
    </xf>
    <xf numFmtId="170" fontId="0" fillId="0" borderId="22" xfId="53" applyNumberFormat="1" applyFont="1" applyFill="1" applyBorder="1" applyAlignment="1" applyProtection="1">
      <alignment horizontal="center"/>
      <protection/>
    </xf>
    <xf numFmtId="0" fontId="27" fillId="0" borderId="12" xfId="0" applyFont="1" applyBorder="1" applyAlignment="1">
      <alignment/>
    </xf>
    <xf numFmtId="0" fontId="22" fillId="0" borderId="23" xfId="0" applyFont="1" applyBorder="1" applyAlignment="1">
      <alignment/>
    </xf>
    <xf numFmtId="164" fontId="18" fillId="0" borderId="24" xfId="54" applyFont="1" applyFill="1" applyBorder="1" applyAlignment="1" applyProtection="1">
      <alignment horizontal="center"/>
      <protection/>
    </xf>
    <xf numFmtId="164" fontId="18" fillId="0" borderId="25" xfId="54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164" fontId="20" fillId="0" borderId="23" xfId="0" applyNumberFormat="1" applyFont="1" applyBorder="1" applyAlignment="1">
      <alignment/>
    </xf>
    <xf numFmtId="164" fontId="20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64" fontId="18" fillId="0" borderId="19" xfId="54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2" fontId="23" fillId="24" borderId="19" xfId="0" applyNumberFormat="1" applyFont="1" applyFill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5" fillId="0" borderId="16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21" fillId="0" borderId="2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2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22" fillId="0" borderId="23" xfId="0" applyFont="1" applyBorder="1" applyAlignment="1">
      <alignment horizontal="right"/>
    </xf>
    <xf numFmtId="164" fontId="18" fillId="0" borderId="24" xfId="54" applyFont="1" applyFill="1" applyBorder="1" applyAlignment="1" applyProtection="1">
      <alignment horizontal="right"/>
      <protection/>
    </xf>
    <xf numFmtId="164" fontId="18" fillId="0" borderId="25" xfId="54" applyFont="1" applyFill="1" applyBorder="1" applyAlignment="1" applyProtection="1">
      <alignment horizontal="right"/>
      <protection/>
    </xf>
    <xf numFmtId="164" fontId="25" fillId="0" borderId="23" xfId="0" applyNumberFormat="1" applyFont="1" applyBorder="1" applyAlignment="1">
      <alignment/>
    </xf>
    <xf numFmtId="0" fontId="22" fillId="0" borderId="20" xfId="0" applyFont="1" applyBorder="1" applyAlignment="1">
      <alignment horizontal="right"/>
    </xf>
    <xf numFmtId="164" fontId="18" fillId="0" borderId="27" xfId="54" applyFont="1" applyFill="1" applyBorder="1" applyAlignment="1" applyProtection="1">
      <alignment/>
      <protection/>
    </xf>
    <xf numFmtId="164" fontId="25" fillId="0" borderId="2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164" fontId="25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166" fontId="29" fillId="0" borderId="18" xfId="53" applyFont="1" applyFill="1" applyBorder="1" applyAlignment="1" applyProtection="1">
      <alignment horizontal="right"/>
      <protection/>
    </xf>
    <xf numFmtId="164" fontId="29" fillId="0" borderId="22" xfId="53" applyNumberFormat="1" applyFont="1" applyFill="1" applyBorder="1" applyAlignment="1" applyProtection="1">
      <alignment horizontal="right"/>
      <protection/>
    </xf>
    <xf numFmtId="166" fontId="29" fillId="0" borderId="22" xfId="53" applyFont="1" applyFill="1" applyBorder="1" applyAlignment="1" applyProtection="1">
      <alignment horizontal="right"/>
      <protection/>
    </xf>
    <xf numFmtId="166" fontId="29" fillId="0" borderId="22" xfId="53" applyFont="1" applyFill="1" applyBorder="1" applyAlignment="1" applyProtection="1">
      <alignment horizontal="center"/>
      <protection/>
    </xf>
    <xf numFmtId="170" fontId="29" fillId="0" borderId="22" xfId="53" applyNumberFormat="1" applyFont="1" applyFill="1" applyBorder="1" applyAlignment="1" applyProtection="1">
      <alignment horizontal="center"/>
      <protection/>
    </xf>
    <xf numFmtId="0" fontId="29" fillId="0" borderId="12" xfId="0" applyFont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18" fillId="0" borderId="29" xfId="0" applyFont="1" applyBorder="1" applyAlignment="1">
      <alignment/>
    </xf>
    <xf numFmtId="0" fontId="0" fillId="0" borderId="29" xfId="0" applyBorder="1" applyAlignment="1">
      <alignment/>
    </xf>
    <xf numFmtId="164" fontId="22" fillId="22" borderId="30" xfId="0" applyNumberFormat="1" applyFont="1" applyFill="1" applyBorder="1" applyAlignment="1">
      <alignment/>
    </xf>
    <xf numFmtId="165" fontId="22" fillId="0" borderId="29" xfId="0" applyNumberFormat="1" applyFont="1" applyBorder="1" applyAlignment="1">
      <alignment horizontal="center"/>
    </xf>
    <xf numFmtId="164" fontId="22" fillId="22" borderId="30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165" fontId="22" fillId="0" borderId="31" xfId="0" applyNumberFormat="1" applyFont="1" applyBorder="1" applyAlignment="1">
      <alignment horizontal="center"/>
    </xf>
    <xf numFmtId="165" fontId="22" fillId="0" borderId="32" xfId="0" applyNumberFormat="1" applyFont="1" applyBorder="1" applyAlignment="1">
      <alignment horizontal="center"/>
    </xf>
    <xf numFmtId="164" fontId="22" fillId="22" borderId="33" xfId="0" applyNumberFormat="1" applyFont="1" applyFill="1" applyBorder="1" applyAlignment="1">
      <alignment horizontal="center"/>
    </xf>
    <xf numFmtId="164" fontId="22" fillId="22" borderId="34" xfId="0" applyNumberFormat="1" applyFont="1" applyFill="1" applyBorder="1" applyAlignment="1">
      <alignment horizontal="center"/>
    </xf>
    <xf numFmtId="0" fontId="0" fillId="22" borderId="33" xfId="0" applyFill="1" applyBorder="1" applyAlignment="1">
      <alignment/>
    </xf>
    <xf numFmtId="0" fontId="0" fillId="22" borderId="34" xfId="0" applyFill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66" fontId="21" fillId="0" borderId="17" xfId="53" applyFont="1" applyFill="1" applyBorder="1" applyAlignment="1" applyProtection="1">
      <alignment horizontal="center"/>
      <protection/>
    </xf>
    <xf numFmtId="164" fontId="18" fillId="0" borderId="24" xfId="54" applyFont="1" applyFill="1" applyBorder="1" applyAlignment="1" applyProtection="1">
      <alignment/>
      <protection/>
    </xf>
    <xf numFmtId="164" fontId="18" fillId="0" borderId="16" xfId="54" applyFont="1" applyFill="1" applyBorder="1" applyAlignment="1" applyProtection="1">
      <alignment/>
      <protection/>
    </xf>
    <xf numFmtId="0" fontId="23" fillId="0" borderId="18" xfId="0" applyFont="1" applyBorder="1" applyAlignment="1">
      <alignment horizontal="center"/>
    </xf>
    <xf numFmtId="2" fontId="23" fillId="0" borderId="16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39" xfId="0" applyBorder="1" applyAlignment="1">
      <alignment/>
    </xf>
    <xf numFmtId="0" fontId="18" fillId="0" borderId="39" xfId="0" applyFont="1" applyBorder="1" applyAlignment="1">
      <alignment horizontal="center"/>
    </xf>
    <xf numFmtId="0" fontId="22" fillId="0" borderId="39" xfId="0" applyFont="1" applyBorder="1" applyAlignment="1">
      <alignment/>
    </xf>
    <xf numFmtId="0" fontId="22" fillId="22" borderId="40" xfId="0" applyFont="1" applyFill="1" applyBorder="1" applyAlignment="1">
      <alignment/>
    </xf>
    <xf numFmtId="2" fontId="22" fillId="0" borderId="39" xfId="0" applyNumberFormat="1" applyFont="1" applyFill="1" applyBorder="1" applyAlignment="1">
      <alignment/>
    </xf>
    <xf numFmtId="0" fontId="22" fillId="0" borderId="39" xfId="0" applyFont="1" applyFill="1" applyBorder="1" applyAlignment="1">
      <alignment/>
    </xf>
    <xf numFmtId="0" fontId="0" fillId="22" borderId="40" xfId="0" applyFont="1" applyFill="1" applyBorder="1" applyAlignment="1">
      <alignment/>
    </xf>
    <xf numFmtId="167" fontId="18" fillId="0" borderId="39" xfId="0" applyNumberFormat="1" applyFont="1" applyBorder="1" applyAlignment="1">
      <alignment/>
    </xf>
    <xf numFmtId="0" fontId="18" fillId="0" borderId="39" xfId="0" applyFont="1" applyBorder="1" applyAlignment="1">
      <alignment/>
    </xf>
    <xf numFmtId="167" fontId="21" fillId="0" borderId="39" xfId="0" applyNumberFormat="1" applyFont="1" applyBorder="1" applyAlignment="1">
      <alignment/>
    </xf>
    <xf numFmtId="0" fontId="0" fillId="0" borderId="39" xfId="0" applyBorder="1" applyAlignment="1">
      <alignment horizontal="center"/>
    </xf>
    <xf numFmtId="0" fontId="27" fillId="0" borderId="39" xfId="0" applyFont="1" applyBorder="1" applyAlignment="1">
      <alignment/>
    </xf>
    <xf numFmtId="0" fontId="2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7" fontId="0" fillId="0" borderId="39" xfId="0" applyNumberFormat="1" applyBorder="1" applyAlignment="1">
      <alignment/>
    </xf>
    <xf numFmtId="0" fontId="27" fillId="0" borderId="40" xfId="0" applyFont="1" applyBorder="1" applyAlignment="1">
      <alignment/>
    </xf>
    <xf numFmtId="0" fontId="0" fillId="0" borderId="42" xfId="0" applyBorder="1" applyAlignment="1">
      <alignment/>
    </xf>
    <xf numFmtId="164" fontId="0" fillId="22" borderId="12" xfId="0" applyNumberFormat="1" applyFont="1" applyFill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164" fontId="18" fillId="22" borderId="12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166" fontId="30" fillId="0" borderId="10" xfId="53" applyFont="1" applyFill="1" applyBorder="1" applyAlignment="1" applyProtection="1">
      <alignment horizontal="center"/>
      <protection/>
    </xf>
    <xf numFmtId="164" fontId="30" fillId="0" borderId="0" xfId="54" applyFont="1" applyFill="1" applyBorder="1" applyAlignment="1" applyProtection="1">
      <alignment horizontal="center"/>
      <protection/>
    </xf>
    <xf numFmtId="166" fontId="30" fillId="0" borderId="0" xfId="53" applyFont="1" applyFill="1" applyBorder="1" applyAlignment="1" applyProtection="1">
      <alignment horizontal="center"/>
      <protection/>
    </xf>
    <xf numFmtId="167" fontId="31" fillId="0" borderId="39" xfId="0" applyNumberFormat="1" applyFont="1" applyBorder="1" applyAlignment="1">
      <alignment/>
    </xf>
    <xf numFmtId="0" fontId="31" fillId="0" borderId="11" xfId="0" applyFont="1" applyBorder="1" applyAlignment="1">
      <alignment/>
    </xf>
    <xf numFmtId="164" fontId="27" fillId="22" borderId="12" xfId="0" applyNumberFormat="1" applyFont="1" applyFill="1" applyBorder="1" applyAlignment="1">
      <alignment/>
    </xf>
    <xf numFmtId="164" fontId="27" fillId="22" borderId="14" xfId="54" applyFont="1" applyFill="1" applyBorder="1" applyAlignment="1" applyProtection="1">
      <alignment horizontal="center"/>
      <protection/>
    </xf>
    <xf numFmtId="164" fontId="27" fillId="22" borderId="12" xfId="54" applyFont="1" applyFill="1" applyBorder="1" applyAlignment="1" applyProtection="1">
      <alignment horizontal="center"/>
      <protection/>
    </xf>
    <xf numFmtId="0" fontId="27" fillId="22" borderId="40" xfId="0" applyFont="1" applyFill="1" applyBorder="1" applyAlignment="1">
      <alignment/>
    </xf>
    <xf numFmtId="164" fontId="27" fillId="22" borderId="13" xfId="0" applyNumberFormat="1" applyFont="1" applyFill="1" applyBorder="1" applyAlignment="1">
      <alignment horizontal="center"/>
    </xf>
    <xf numFmtId="0" fontId="0" fillId="0" borderId="0" xfId="47" applyAlignment="1">
      <alignment horizontal="center"/>
      <protection/>
    </xf>
    <xf numFmtId="0" fontId="0" fillId="0" borderId="0" xfId="47" applyFill="1" applyAlignment="1">
      <alignment horizontal="center"/>
      <protection/>
    </xf>
    <xf numFmtId="0" fontId="0" fillId="25" borderId="0" xfId="47" applyFill="1" applyAlignment="1">
      <alignment horizontal="center"/>
      <protection/>
    </xf>
    <xf numFmtId="0" fontId="0" fillId="25" borderId="0" xfId="47" applyFont="1" applyFill="1" applyAlignment="1">
      <alignment horizontal="center"/>
      <protection/>
    </xf>
    <xf numFmtId="0" fontId="21" fillId="0" borderId="0" xfId="0" applyFont="1" applyFill="1" applyAlignment="1">
      <alignment/>
    </xf>
    <xf numFmtId="2" fontId="21" fillId="0" borderId="1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167" fontId="21" fillId="0" borderId="39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164" fontId="25" fillId="0" borderId="12" xfId="0" applyNumberFormat="1" applyFont="1" applyFill="1" applyBorder="1" applyAlignment="1">
      <alignment/>
    </xf>
    <xf numFmtId="0" fontId="22" fillId="0" borderId="40" xfId="0" applyFont="1" applyFill="1" applyBorder="1" applyAlignment="1">
      <alignment/>
    </xf>
    <xf numFmtId="164" fontId="20" fillId="0" borderId="13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5" fontId="22" fillId="0" borderId="29" xfId="0" applyNumberFormat="1" applyFont="1" applyFill="1" applyBorder="1" applyAlignment="1">
      <alignment horizontal="center"/>
    </xf>
    <xf numFmtId="165" fontId="22" fillId="0" borderId="31" xfId="0" applyNumberFormat="1" applyFont="1" applyFill="1" applyBorder="1" applyAlignment="1">
      <alignment horizontal="center"/>
    </xf>
    <xf numFmtId="165" fontId="22" fillId="0" borderId="32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164" fontId="20" fillId="0" borderId="12" xfId="0" applyNumberFormat="1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164" fontId="22" fillId="0" borderId="30" xfId="0" applyNumberFormat="1" applyFont="1" applyFill="1" applyBorder="1" applyAlignment="1">
      <alignment horizontal="center"/>
    </xf>
    <xf numFmtId="164" fontId="22" fillId="0" borderId="33" xfId="0" applyNumberFormat="1" applyFont="1" applyFill="1" applyBorder="1" applyAlignment="1">
      <alignment horizontal="center"/>
    </xf>
    <xf numFmtId="164" fontId="22" fillId="0" borderId="34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l_O6-results and basic formulas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7"/>
  <sheetViews>
    <sheetView tabSelected="1" zoomScale="70" zoomScaleNormal="70" zoomScalePageLayoutView="0" workbookViewId="0" topLeftCell="A1">
      <pane ySplit="795" topLeftCell="A19" activePane="bottomLeft" state="split"/>
      <selection pane="topLeft" activeCell="F2" sqref="F2"/>
      <selection pane="bottomLeft" activeCell="A31" sqref="A31:IV32"/>
    </sheetView>
  </sheetViews>
  <sheetFormatPr defaultColWidth="9.140625" defaultRowHeight="12.75"/>
  <cols>
    <col min="1" max="1" width="25.00390625" style="0" customWidth="1"/>
    <col min="2" max="2" width="15.28125" style="1" customWidth="1"/>
    <col min="3" max="3" width="14.7109375" style="0" customWidth="1"/>
    <col min="4" max="4" width="15.28125" style="0" customWidth="1"/>
    <col min="5" max="5" width="14.8515625" style="0" customWidth="1"/>
    <col min="6" max="6" width="14.7109375" style="0" customWidth="1"/>
    <col min="7" max="7" width="12.57421875" style="0" customWidth="1"/>
    <col min="8" max="8" width="13.421875" style="0" customWidth="1"/>
    <col min="9" max="9" width="14.421875" style="0" customWidth="1"/>
    <col min="10" max="10" width="14.00390625" style="0" customWidth="1"/>
    <col min="11" max="11" width="15.00390625" style="0" customWidth="1"/>
    <col min="12" max="12" width="0.85546875" style="225" customWidth="1"/>
    <col min="13" max="13" width="18.7109375" style="2" customWidth="1"/>
    <col min="14" max="14" width="9.7109375" style="3" customWidth="1"/>
    <col min="15" max="15" width="10.7109375" style="4" customWidth="1"/>
    <col min="16" max="16" width="12.00390625" style="0" customWidth="1"/>
    <col min="17" max="17" width="11.7109375" style="199" customWidth="1"/>
    <col min="18" max="18" width="12.00390625" style="200" customWidth="1"/>
  </cols>
  <sheetData>
    <row r="1" spans="1:16" ht="43.5" customHeight="1">
      <c r="A1" s="5" t="s">
        <v>142</v>
      </c>
      <c r="D1" s="5"/>
      <c r="F1" s="6" t="s">
        <v>143</v>
      </c>
      <c r="P1" s="193"/>
    </row>
    <row r="2" spans="2:18" s="2" customFormat="1" ht="34.5" customHeight="1"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226"/>
      <c r="M2" s="10" t="s">
        <v>10</v>
      </c>
      <c r="N2" s="11" t="s">
        <v>140</v>
      </c>
      <c r="O2" s="192" t="s">
        <v>18</v>
      </c>
      <c r="P2" s="244" t="s">
        <v>129</v>
      </c>
      <c r="Q2" s="245" t="s">
        <v>130</v>
      </c>
      <c r="R2" s="246" t="s">
        <v>131</v>
      </c>
    </row>
    <row r="3" spans="2:16" ht="13.5" customHeight="1">
      <c r="B3" s="12" t="s">
        <v>11</v>
      </c>
      <c r="C3" s="9" t="s">
        <v>12</v>
      </c>
      <c r="D3" s="9" t="s">
        <v>13</v>
      </c>
      <c r="E3" s="9" t="s">
        <v>12</v>
      </c>
      <c r="F3" s="9" t="s">
        <v>11</v>
      </c>
      <c r="G3" s="9" t="s">
        <v>11</v>
      </c>
      <c r="H3" s="9" t="s">
        <v>13</v>
      </c>
      <c r="I3" s="9" t="s">
        <v>12</v>
      </c>
      <c r="J3" s="9" t="s">
        <v>13</v>
      </c>
      <c r="K3" s="9" t="s">
        <v>11</v>
      </c>
      <c r="M3" s="14"/>
      <c r="N3" s="9"/>
      <c r="P3" s="195"/>
    </row>
    <row r="4" spans="2:16" ht="13.5" customHeight="1">
      <c r="B4" s="15"/>
      <c r="C4" s="13"/>
      <c r="D4" s="13"/>
      <c r="E4" s="13"/>
      <c r="F4" s="16"/>
      <c r="G4" s="16"/>
      <c r="H4" s="13"/>
      <c r="I4" s="13"/>
      <c r="J4" s="13"/>
      <c r="K4" s="16"/>
      <c r="M4" s="14"/>
      <c r="N4" s="9"/>
      <c r="P4" s="195"/>
    </row>
    <row r="5" spans="1:18" s="25" customFormat="1" ht="21.75" customHeight="1">
      <c r="A5" s="17" t="s">
        <v>14</v>
      </c>
      <c r="B5" s="18"/>
      <c r="C5" s="19"/>
      <c r="D5" s="19"/>
      <c r="E5" s="19"/>
      <c r="F5" s="20"/>
      <c r="G5" s="21"/>
      <c r="H5" s="21"/>
      <c r="I5" s="20"/>
      <c r="J5" s="20"/>
      <c r="K5" s="55"/>
      <c r="L5" s="227"/>
      <c r="M5" s="23"/>
      <c r="N5" s="8"/>
      <c r="O5" s="24"/>
      <c r="P5" s="197" t="e">
        <f>100*P6/M6</f>
        <v>#DIV/0!</v>
      </c>
      <c r="Q5" s="203" t="e">
        <f>100*Q6/M6</f>
        <v>#DIV/0!</v>
      </c>
      <c r="R5" s="204" t="e">
        <f>100*R6/M6</f>
        <v>#DIV/0!</v>
      </c>
    </row>
    <row r="6" spans="1:18" s="28" customFormat="1" ht="18">
      <c r="A6" s="26" t="s">
        <v>15</v>
      </c>
      <c r="B6" s="40" t="str">
        <f>IF(B5=0," ",IF(B5&lt;21.7,TRUNC(25.4347*(18-B5*B$82)^1.81)," "))</f>
        <v> </v>
      </c>
      <c r="C6" s="27" t="str">
        <f>IF(C5&gt;155,TRUNC(0.14354*(C5*C$82-220)^1.4)," ")</f>
        <v> </v>
      </c>
      <c r="D6" s="27" t="str">
        <f>IF(D5&gt;1.2,TRUNC(51.39*(D5*D$82-1.5)^1.05)," ")</f>
        <v> </v>
      </c>
      <c r="E6" s="27" t="str">
        <f>IF(E5&gt;55,TRUNC(0.84565*(E5*E$82-75)^1.42)," ")</f>
        <v> </v>
      </c>
      <c r="F6" s="27" t="str">
        <f>IF(F5=0," ",IF(F5&lt;99.46,TRUNC(1.53775*(82-F5*F$82)^1.81)," "))</f>
        <v> </v>
      </c>
      <c r="G6" s="27" t="str">
        <f>IF(G5=0," ",IF(G5&lt;31,TRUNC(5.74352*(28.5-G5*G$82)^1.92)," "))</f>
        <v> </v>
      </c>
      <c r="H6" s="27" t="str">
        <f>IF(H5&gt;3.7,TRUNC(12.91*(H5*H$82-4)^1.1)," ")</f>
        <v> </v>
      </c>
      <c r="I6" s="27" t="str">
        <f>IF(I5&gt;69,TRUNC(0.2797*(I5*I$82-100)^1.35)," ")</f>
        <v> </v>
      </c>
      <c r="J6" s="27" t="str">
        <f>IF(J5&gt;4.8,TRUNC(10.14*(J5*J$82-7)^1.08)," ")</f>
        <v> </v>
      </c>
      <c r="K6" s="27" t="str">
        <f>IF(K5=0," ",IF(K5&lt;604.36,TRUNC(0.03768*(480-K5*K$82)^1.85)," "))</f>
        <v> </v>
      </c>
      <c r="L6" s="228"/>
      <c r="M6" s="29">
        <f>SUM(B6:K6)</f>
        <v>0</v>
      </c>
      <c r="N6" s="30" t="s">
        <v>16</v>
      </c>
      <c r="O6" s="31">
        <f>MAX(B6:K6)</f>
        <v>0</v>
      </c>
      <c r="P6" s="198">
        <f>SUM(B6,F6,G6,K6)</f>
        <v>0</v>
      </c>
      <c r="Q6" s="205">
        <f>SUM(C6,E6,I6)</f>
        <v>0</v>
      </c>
      <c r="R6" s="206">
        <f>SUM(D6,H6,J6)</f>
        <v>0</v>
      </c>
    </row>
    <row r="7" spans="1:18" s="2" customFormat="1" ht="22.5" customHeight="1">
      <c r="A7" s="17" t="s">
        <v>128</v>
      </c>
      <c r="B7" s="53"/>
      <c r="C7" s="54"/>
      <c r="D7" s="55"/>
      <c r="E7" s="54"/>
      <c r="F7" s="55"/>
      <c r="G7" s="55"/>
      <c r="H7" s="55"/>
      <c r="I7" s="54"/>
      <c r="J7" s="55"/>
      <c r="K7" s="55"/>
      <c r="L7" s="232"/>
      <c r="M7" s="56"/>
      <c r="N7" s="51"/>
      <c r="O7" s="3"/>
      <c r="P7" s="197" t="e">
        <f>100*P8/M8</f>
        <v>#DIV/0!</v>
      </c>
      <c r="Q7" s="203" t="e">
        <f>100*Q8/M8</f>
        <v>#DIV/0!</v>
      </c>
      <c r="R7" s="204" t="e">
        <f>100*R8/M8</f>
        <v>#DIV/0!</v>
      </c>
    </row>
    <row r="8" spans="1:18" s="52" customFormat="1" ht="24.75" customHeight="1">
      <c r="A8" s="26" t="s">
        <v>139</v>
      </c>
      <c r="B8" s="40" t="str">
        <f>IF(B7=0," ",IF(B7&lt;60,TRUNC(25.4347*(18-B7*B$90)^1.81)," "))</f>
        <v> </v>
      </c>
      <c r="C8" s="27" t="str">
        <f>IF(C7&gt;10,TRUNC(0.14354*(C7*C$90-220)^1.4)," ")</f>
        <v> </v>
      </c>
      <c r="D8" s="27" t="str">
        <f>IF(D7&gt;1.2,TRUNC(51.39*(D7*D$90-1.5)^1.05)," ")</f>
        <v> </v>
      </c>
      <c r="E8" s="27" t="str">
        <f>IF(E7&gt;10,TRUNC(0.84565*(E7*E$90-75)^1.42)," ")</f>
        <v> </v>
      </c>
      <c r="F8" s="27" t="str">
        <f>IF(F7=0," ",IF(F7&lt;200,TRUNC(1.53775*(82-F7*F$90)^1.81)," "))</f>
        <v> </v>
      </c>
      <c r="G8" s="27" t="str">
        <f>IF(G7=0," ",IF(G7&lt;100,TRUNC(5.74352*(28.5-G7*G$90)^1.92)," "))</f>
        <v> </v>
      </c>
      <c r="H8" s="27" t="str">
        <f>IF(H7&gt;0.2,TRUNC(12.91*(H7*H$90-4)^1.1)," ")</f>
        <v> </v>
      </c>
      <c r="I8" s="27" t="str">
        <f>IF(I7&gt;10,TRUNC(0.2797*(I7*I$90-100)^1.35)," ")</f>
        <v> </v>
      </c>
      <c r="J8" s="27" t="str">
        <f>IF(J7&gt;0.8,TRUNC(10.14*(J7*J$90-7)^1.08)," ")</f>
        <v> </v>
      </c>
      <c r="K8" s="27" t="str">
        <f>IF(K7=0," ",IF(K7&lt;800.36,TRUNC(0.03768*(480-K7*K$87)^1.85)," "))</f>
        <v> </v>
      </c>
      <c r="L8" s="231"/>
      <c r="M8" s="57">
        <f>SUM(B8:K8)</f>
        <v>0</v>
      </c>
      <c r="N8" s="30" t="s">
        <v>136</v>
      </c>
      <c r="O8" s="31">
        <f>MAX(B8:K8)</f>
        <v>0</v>
      </c>
      <c r="P8" s="198">
        <f>SUM(B8,F8,G8,K8)</f>
        <v>0</v>
      </c>
      <c r="Q8" s="205">
        <f>SUM(C8,E8,I8)</f>
        <v>0</v>
      </c>
      <c r="R8" s="206">
        <f>SUM(D8,H8,J8)</f>
        <v>0</v>
      </c>
    </row>
    <row r="9" spans="1:18" s="37" customFormat="1" ht="18">
      <c r="A9" s="32" t="s">
        <v>126</v>
      </c>
      <c r="B9" s="33"/>
      <c r="C9" s="34"/>
      <c r="D9" s="35"/>
      <c r="E9" s="34"/>
      <c r="F9" s="35"/>
      <c r="G9" s="35"/>
      <c r="H9" s="36"/>
      <c r="I9" s="36"/>
      <c r="J9" s="35"/>
      <c r="K9" s="35"/>
      <c r="L9" s="229"/>
      <c r="M9" s="38"/>
      <c r="N9" s="39"/>
      <c r="O9" s="35"/>
      <c r="P9" s="197" t="e">
        <f>100*P10/M10</f>
        <v>#DIV/0!</v>
      </c>
      <c r="Q9" s="203" t="e">
        <f>100*Q10/M10</f>
        <v>#DIV/0!</v>
      </c>
      <c r="R9" s="204" t="e">
        <f>100*R10/M10</f>
        <v>#DIV/0!</v>
      </c>
    </row>
    <row r="10" spans="1:21" s="41" customFormat="1" ht="18">
      <c r="A10" s="26" t="s">
        <v>138</v>
      </c>
      <c r="B10" s="40" t="str">
        <f>IF(B9=0," ",IF(B9&lt;21.7,TRUNC(25.4347*(18-B9*B$86)^1.81)," "))</f>
        <v> </v>
      </c>
      <c r="C10" s="27" t="str">
        <f>IF(C9&gt;155,TRUNC(0.14354*(C9*C$86-220)^1.4)," ")</f>
        <v> </v>
      </c>
      <c r="D10" s="27" t="str">
        <f>IF(D9&gt;1.2,TRUNC(51.39*(D9*D$86-1.5)^1.05)," ")</f>
        <v> </v>
      </c>
      <c r="E10" s="27" t="str">
        <f>IF(E9&gt;55,TRUNC(0.84565*(E9*E$86-75)^1.42)," ")</f>
        <v> </v>
      </c>
      <c r="F10" s="27" t="str">
        <f>IF(F9=0," ",IF(F9&lt;99.46,TRUNC(1.53775*(82-F9*F$86)^1.81)," "))</f>
        <v> </v>
      </c>
      <c r="G10" s="27" t="str">
        <f>IF(G9=0," ",IF(G9&lt;31,TRUNC(5.74352*(28.5-G9*G$86)^1.92)," "))</f>
        <v> </v>
      </c>
      <c r="H10" s="27" t="str">
        <f>IF(H9&gt;3.7,TRUNC(12.91*(H9*H$86-4)^1.1)," ")</f>
        <v> </v>
      </c>
      <c r="I10" s="27" t="str">
        <f>IF(I9&gt;69,TRUNC(0.2797*(I9*I$86-100)^1.35)," ")</f>
        <v> </v>
      </c>
      <c r="J10" s="27" t="str">
        <f>IF(J9&gt;0.1,TRUNC(10.14*(J9*J$89-7)^1.08)," ")</f>
        <v> </v>
      </c>
      <c r="K10" s="27" t="str">
        <f>IF(K9=0," ",IF(K9&lt;800.36,TRUNC(0.03768*(480-K9*K$87)^1.85)," "))</f>
        <v> </v>
      </c>
      <c r="L10" s="228"/>
      <c r="M10" s="29">
        <f>SUM(B10:K10)</f>
        <v>0</v>
      </c>
      <c r="N10" s="30" t="s">
        <v>134</v>
      </c>
      <c r="O10" s="31"/>
      <c r="P10" s="198">
        <f>SUM(B10,F10,G10,K10)</f>
        <v>0</v>
      </c>
      <c r="Q10" s="205">
        <f>SUM(C10,E10,I10)</f>
        <v>0</v>
      </c>
      <c r="R10" s="206">
        <f>SUM(D10,H10,J10)</f>
        <v>0</v>
      </c>
      <c r="S10" s="28"/>
      <c r="T10" s="28"/>
      <c r="U10" s="28"/>
    </row>
    <row r="11" spans="1:18" s="46" customFormat="1" ht="18">
      <c r="A11" s="42" t="s">
        <v>127</v>
      </c>
      <c r="B11" s="43"/>
      <c r="C11" s="44"/>
      <c r="D11" s="44"/>
      <c r="E11" s="44"/>
      <c r="F11" s="44"/>
      <c r="G11" s="44"/>
      <c r="H11" s="36"/>
      <c r="I11" s="45"/>
      <c r="J11" s="44"/>
      <c r="K11" s="44"/>
      <c r="L11" s="230"/>
      <c r="M11" s="47"/>
      <c r="N11" s="48"/>
      <c r="O11" s="49"/>
      <c r="P11" s="197" t="e">
        <f>100*P12/M12</f>
        <v>#DIV/0!</v>
      </c>
      <c r="Q11" s="203" t="e">
        <f>100*Q12/M12</f>
        <v>#DIV/0!</v>
      </c>
      <c r="R11" s="204" t="e">
        <f>100*R12/M12</f>
        <v>#DIV/0!</v>
      </c>
    </row>
    <row r="12" spans="1:21" s="41" customFormat="1" ht="18">
      <c r="A12" s="26" t="s">
        <v>138</v>
      </c>
      <c r="B12" s="40" t="str">
        <f>IF(B11=0," ",IF(B11&lt;21.7,TRUNC(25.4347*(18-B11*B$86)^1.81)," "))</f>
        <v> </v>
      </c>
      <c r="C12" s="27" t="str">
        <f>IF(C11&gt;155,TRUNC(0.14354*(C11*C$86-220)^1.4)," ")</f>
        <v> </v>
      </c>
      <c r="D12" s="27" t="str">
        <f>IF(D11&gt;1.2,TRUNC(51.39*(D11*D$86-1.5)^1.05)," ")</f>
        <v> </v>
      </c>
      <c r="E12" s="27" t="str">
        <f>IF(E11&gt;55,TRUNC(0.84565*(E11*E$86-75)^1.42)," ")</f>
        <v> </v>
      </c>
      <c r="F12" s="27" t="str">
        <f>IF(F11=0," ",IF(F11&lt;99.46,TRUNC(1.53775*(82-F11*F$86)^1.81)," "))</f>
        <v> </v>
      </c>
      <c r="G12" s="27" t="str">
        <f>IF(G11=0," ",IF(G11&lt;31,TRUNC(5.74352*(28.5-G11*G$86)^1.92)," "))</f>
        <v> </v>
      </c>
      <c r="H12" s="27" t="str">
        <f>IF(H11&gt;3.7,TRUNC(12.91*(H11*H$86-4)^1.1)," ")</f>
        <v> </v>
      </c>
      <c r="I12" s="27" t="str">
        <f>IF(I11&gt;69,TRUNC(0.2797*(I11*I$86-100)^1.35)," ")</f>
        <v> </v>
      </c>
      <c r="J12" s="27" t="str">
        <f>IF(J11&gt;0.1,TRUNC(10.14*(J11*J$89-7)^1.08)," ")</f>
        <v> </v>
      </c>
      <c r="K12" s="27" t="str">
        <f>IF(K11=0," ",IF(K11&lt;800.36,TRUNC(0.03768*(480-K11*K$87)^1.85)," "))</f>
        <v> </v>
      </c>
      <c r="L12" s="228"/>
      <c r="M12" s="29">
        <f>SUM(B12:K12)</f>
        <v>0</v>
      </c>
      <c r="N12" s="30" t="s">
        <v>135</v>
      </c>
      <c r="O12" s="31"/>
      <c r="P12" s="198">
        <f>SUM(B12,F12,G12,K12)</f>
        <v>0</v>
      </c>
      <c r="Q12" s="205">
        <f>SUM(C12,E12,I12)</f>
        <v>0</v>
      </c>
      <c r="R12" s="206">
        <f>SUM(D12,H12,J12)</f>
        <v>0</v>
      </c>
      <c r="S12" s="28"/>
      <c r="T12" s="28"/>
      <c r="U12" s="28"/>
    </row>
    <row r="13" spans="1:18" s="2" customFormat="1" ht="19.5" customHeight="1">
      <c r="A13" s="248" t="s">
        <v>118</v>
      </c>
      <c r="B13" s="249">
        <v>10.35</v>
      </c>
      <c r="C13" s="250">
        <v>803</v>
      </c>
      <c r="D13" s="251">
        <v>14.66</v>
      </c>
      <c r="E13" s="250">
        <v>205.1</v>
      </c>
      <c r="F13" s="251">
        <v>46.9</v>
      </c>
      <c r="G13" s="251">
        <v>13.56</v>
      </c>
      <c r="H13" s="251">
        <v>42.53</v>
      </c>
      <c r="I13" s="250">
        <v>520</v>
      </c>
      <c r="J13" s="251">
        <v>61.96</v>
      </c>
      <c r="K13" s="251">
        <v>273.59</v>
      </c>
      <c r="L13" s="252"/>
      <c r="M13" s="253"/>
      <c r="N13" s="51"/>
      <c r="O13" s="3"/>
      <c r="P13" s="197">
        <f>100*P14/M14</f>
        <v>42.02235410376101</v>
      </c>
      <c r="Q13" s="203">
        <f>100*Q14/M14</f>
        <v>32.58608661486797</v>
      </c>
      <c r="R13" s="204">
        <f>100*R14/M14</f>
        <v>25.39155928137102</v>
      </c>
    </row>
    <row r="14" spans="1:18" s="52" customFormat="1" ht="13.5" customHeight="1">
      <c r="A14" s="254" t="s">
        <v>17</v>
      </c>
      <c r="B14" s="255">
        <f>IF(B13=0," ",IF(B13&lt;18,TRUNC(25.4347*(18-B13)^1.81)," "))</f>
        <v>1011</v>
      </c>
      <c r="C14" s="256">
        <f>IF(C13&gt;220,TRUNC(0.14354*(C13-220)^1.4)," ")</f>
        <v>1068</v>
      </c>
      <c r="D14" s="256">
        <f>IF(D13&gt;1.5,TRUNC(51.39*(D13-1.5)^1.05)," ")</f>
        <v>769</v>
      </c>
      <c r="E14" s="256">
        <f>IF(E13&gt;75,0.84565*(E13-75)^1.42," ")</f>
        <v>850.0890348440352</v>
      </c>
      <c r="F14" s="256">
        <f>IF(F13=0," ",IF(F13&lt;82,TRUNC(1.53775*(82-F13)^1.81)," "))</f>
        <v>963</v>
      </c>
      <c r="G14" s="256">
        <f>IF(G13=0," ",IF(G13&lt;28.5,TRUNC(5.74352*(28.5-G13)^1.92)," "))</f>
        <v>1032</v>
      </c>
      <c r="H14" s="256">
        <f>IF(H13&gt;4,TRUNC(12.91*(H13-4)^1.1)," ")</f>
        <v>716</v>
      </c>
      <c r="I14" s="256">
        <f>IF(I13&gt;100,TRUNC(0.2797*(I13-100)^1.35)," ")</f>
        <v>972</v>
      </c>
      <c r="J14" s="256">
        <f>IF(J13&gt;7,TRUNC(10.14*(J13-7)^1.08)," ")</f>
        <v>767</v>
      </c>
      <c r="K14" s="256">
        <f>IF(K13=0," ",IF(K13&lt;480,TRUNC(0.03768*(480-K13)^1.85)," "))</f>
        <v>721</v>
      </c>
      <c r="L14" s="257"/>
      <c r="M14" s="258">
        <f>SUM(B14:K14)</f>
        <v>8869.089034844035</v>
      </c>
      <c r="N14" s="247" t="s">
        <v>119</v>
      </c>
      <c r="O14" s="243">
        <f>MAX(B14:K14)</f>
        <v>1068</v>
      </c>
      <c r="P14" s="198">
        <f>SUM(B14,F14,G14,K14)</f>
        <v>3727</v>
      </c>
      <c r="Q14" s="205">
        <f>SUM(C14,E14,I14)</f>
        <v>2890.0890348440353</v>
      </c>
      <c r="R14" s="206">
        <f>SUM(D14,H14,J14)</f>
        <v>2252</v>
      </c>
    </row>
    <row r="15" spans="1:18" s="2" customFormat="1" ht="28.5" customHeight="1">
      <c r="A15" s="17" t="s">
        <v>141</v>
      </c>
      <c r="B15" s="53"/>
      <c r="C15" s="54"/>
      <c r="D15" s="55"/>
      <c r="E15" s="54"/>
      <c r="F15" s="55"/>
      <c r="G15" s="55"/>
      <c r="H15" s="55"/>
      <c r="I15" s="54"/>
      <c r="J15" s="55"/>
      <c r="K15" s="55"/>
      <c r="L15" s="232"/>
      <c r="M15" s="56"/>
      <c r="N15" s="9"/>
      <c r="O15" s="3"/>
      <c r="P15" s="197" t="e">
        <f>100*P16/M16</f>
        <v>#DIV/0!</v>
      </c>
      <c r="Q15" s="203" t="e">
        <f>100*Q16/M16</f>
        <v>#DIV/0!</v>
      </c>
      <c r="R15" s="204" t="e">
        <f>100*R16/M16</f>
        <v>#DIV/0!</v>
      </c>
    </row>
    <row r="16" spans="1:18" s="52" customFormat="1" ht="24.75" customHeight="1">
      <c r="A16" s="26" t="s">
        <v>20</v>
      </c>
      <c r="B16" s="40" t="str">
        <f>IF(B15=0," ",IF(B15&lt;20.7,TRUNC(25.4347*(18-B15*B$78)^1.81)," "))</f>
        <v> </v>
      </c>
      <c r="C16" s="27" t="str">
        <f>IF(C15&gt;166,TRUNC(0.14354*(C15*C$78-220)^1.4)," ")</f>
        <v> </v>
      </c>
      <c r="D16" s="27" t="str">
        <f>IF(D15&gt;1.5,TRUNC(51.39*(D15*D$78-1.5)^1.05)," ")</f>
        <v> </v>
      </c>
      <c r="E16" s="27" t="str">
        <f>IF(E15&gt;58,TRUNC(0.84565*(E15*E$78-75)^1.42)," ")</f>
        <v> </v>
      </c>
      <c r="F16" s="27" t="str">
        <f>IF(F15=0," ",IF(F15&lt;96.35,TRUNC(1.53775*(82-F15*F$78)^1.81)," "))</f>
        <v> </v>
      </c>
      <c r="G16" s="27" t="str">
        <f>IF(G15=0," ",IF(G15&lt;28.5,TRUNC(5.74352*(28.5-G15*G$78)^1.92)," "))</f>
        <v> </v>
      </c>
      <c r="H16" s="27" t="str">
        <f>IF(H15&gt;4,TRUNC(12.91*(H15*H$78-4)^1.1)," ")</f>
        <v> </v>
      </c>
      <c r="I16" s="27" t="str">
        <f>IF(I15&gt;75,TRUNC(0.2797*(I15*I$78-100)^1.35)," ")</f>
        <v> </v>
      </c>
      <c r="J16" s="27" t="str">
        <f>IF(J15&gt;6,TRUNC(10.14*(J15*J$78-7)^1.08)," ")</f>
        <v> </v>
      </c>
      <c r="K16" s="27" t="str">
        <f>IF(K15=0," ",IF(K15&lt;580,TRUNC(0.03768*(480-K15*K$78)^1.85)," "))</f>
        <v> </v>
      </c>
      <c r="L16" s="231"/>
      <c r="M16" s="57">
        <f>SUM(B16:K16)</f>
        <v>0</v>
      </c>
      <c r="N16" s="30" t="s">
        <v>132</v>
      </c>
      <c r="O16" s="31">
        <f>MAX(B16:K16)</f>
        <v>0</v>
      </c>
      <c r="P16" s="198">
        <f>SUM(B16,F16,G16,K16)</f>
        <v>0</v>
      </c>
      <c r="Q16" s="205">
        <f>SUM(C16,E16,I16)</f>
        <v>0</v>
      </c>
      <c r="R16" s="206">
        <f>SUM(D16,H16,J16)</f>
        <v>0</v>
      </c>
    </row>
    <row r="17" spans="1:18" s="2" customFormat="1" ht="27" customHeight="1">
      <c r="A17" s="17" t="s">
        <v>19</v>
      </c>
      <c r="B17" s="53"/>
      <c r="C17" s="54"/>
      <c r="D17" s="55"/>
      <c r="E17" s="54"/>
      <c r="F17" s="55"/>
      <c r="G17" s="55"/>
      <c r="H17" s="55"/>
      <c r="I17" s="54"/>
      <c r="J17" s="55"/>
      <c r="K17" s="219"/>
      <c r="L17" s="232"/>
      <c r="M17" s="56"/>
      <c r="N17" s="51"/>
      <c r="O17" s="3"/>
      <c r="P17" s="197" t="e">
        <f>100*P18/M18</f>
        <v>#DIV/0!</v>
      </c>
      <c r="Q17" s="203" t="e">
        <f>100*Q18/M18</f>
        <v>#DIV/0!</v>
      </c>
      <c r="R17" s="204" t="e">
        <f>100*R18/M18</f>
        <v>#DIV/0!</v>
      </c>
    </row>
    <row r="18" spans="1:18" s="52" customFormat="1" ht="27" customHeight="1">
      <c r="A18" s="26" t="s">
        <v>20</v>
      </c>
      <c r="B18" s="40" t="str">
        <f>IF(B17=0," ",IF(B17&lt;20.7,TRUNC(25.4347*(18-B17*B$78)^1.81)," "))</f>
        <v> </v>
      </c>
      <c r="C18" s="27" t="str">
        <f>IF(C17&gt;166,TRUNC(0.14354*(C17*C$78-220)^1.4)," ")</f>
        <v> </v>
      </c>
      <c r="D18" s="27" t="str">
        <f>IF(D17&gt;1.5,TRUNC(51.39*(D17*D$78-1.5)^1.05)," ")</f>
        <v> </v>
      </c>
      <c r="E18" s="27" t="str">
        <f>IF(E17&gt;58,TRUNC(0.84565*(E17*E$78-75)^1.42)," ")</f>
        <v> </v>
      </c>
      <c r="F18" s="27" t="str">
        <f>IF(F17=0," ",IF(F17&lt;96.35,TRUNC(1.53775*(82-F17*F$78)^1.81)," "))</f>
        <v> </v>
      </c>
      <c r="G18" s="27" t="str">
        <f>IF(G17=0," ",IF(G17&lt;28.5,TRUNC(5.74352*(28.5-G17*G$78)^1.92)," "))</f>
        <v> </v>
      </c>
      <c r="H18" s="27" t="str">
        <f>IF(H17&gt;4,TRUNC(12.91*(H17*H$78-4)^1.1)," ")</f>
        <v> </v>
      </c>
      <c r="I18" s="27" t="str">
        <f>IF(I17&gt;75,TRUNC(0.2797*(I17*I$78-100)^1.35)," ")</f>
        <v> </v>
      </c>
      <c r="J18" s="27" t="str">
        <f>IF(J17&gt;6,TRUNC(10.14*(J17*J$78-7)^1.08)," ")</f>
        <v> </v>
      </c>
      <c r="K18" s="27" t="str">
        <f>IF(K17=0," ",IF(K17&lt;580,TRUNC(0.03768*(480-K17*K$78)^1.85)," "))</f>
        <v> </v>
      </c>
      <c r="L18" s="231"/>
      <c r="M18" s="57">
        <f>SUM(B18:K18)</f>
        <v>0</v>
      </c>
      <c r="N18" s="30" t="s">
        <v>133</v>
      </c>
      <c r="O18" s="31">
        <f>MAX(B18:K18)</f>
        <v>0</v>
      </c>
      <c r="P18" s="198">
        <f>SUM(B18,F18,G18,K18)</f>
        <v>0</v>
      </c>
      <c r="Q18" s="205">
        <f>SUM(C18,E18,I18)</f>
        <v>0</v>
      </c>
      <c r="R18" s="206">
        <f>SUM(D18,H18,J18)</f>
        <v>0</v>
      </c>
    </row>
    <row r="19" spans="1:18" s="2" customFormat="1" ht="3" customHeight="1">
      <c r="A19" s="17" t="s">
        <v>21</v>
      </c>
      <c r="B19" s="53"/>
      <c r="C19" s="54"/>
      <c r="D19" s="55"/>
      <c r="E19" s="54"/>
      <c r="F19" s="55"/>
      <c r="G19" s="55"/>
      <c r="H19" s="55"/>
      <c r="I19" s="54"/>
      <c r="J19" s="55"/>
      <c r="K19" s="55"/>
      <c r="L19" s="232"/>
      <c r="M19" s="56"/>
      <c r="N19" s="51"/>
      <c r="O19" s="3"/>
      <c r="P19" s="194"/>
      <c r="Q19" s="201"/>
      <c r="R19" s="202"/>
    </row>
    <row r="20" spans="1:18" s="52" customFormat="1" ht="3.75" customHeight="1" hidden="1">
      <c r="A20" s="28" t="s">
        <v>22</v>
      </c>
      <c r="B20" s="40" t="str">
        <f>IF(B19=0," ",IF(B19&lt;18,TRUNC(25.4347*(18-B19)^1.81)," "))</f>
        <v> </v>
      </c>
      <c r="C20" s="27" t="str">
        <f>IF(C19&gt;220,TRUNC(0.14354*(C19-220)^1.4)," ")</f>
        <v> </v>
      </c>
      <c r="D20" s="27" t="str">
        <f>IF(D19&gt;1.5,TRUNC(51.39*(D19-1.5)^1.05)," ")</f>
        <v> </v>
      </c>
      <c r="E20" s="27" t="str">
        <f>IF(E19&gt;75,TRUNC(0.84565*(E19-75)^1.42)," ")</f>
        <v> </v>
      </c>
      <c r="F20" s="27" t="str">
        <f>IF(F19=0," ",IF(F19&lt;82,TRUNC(1.53775*(82-F19)^1.81)," "))</f>
        <v> </v>
      </c>
      <c r="G20" s="59" t="str">
        <f>IF(G19=0," ",IF(G19&lt;28.5,TRUNC(5.74352*(28.5-G19)^1.92)," "))</f>
        <v> </v>
      </c>
      <c r="H20" s="27" t="str">
        <f>IF(H19&gt;4,TRUNC(12.91*(H19-4)^1.1)," ")</f>
        <v> </v>
      </c>
      <c r="I20" s="27" t="str">
        <f>IF(I19&gt;100,TRUNC(0.2797*(I19-100)^1.35)," ")</f>
        <v> </v>
      </c>
      <c r="J20" s="27" t="str">
        <f>IF(J19&gt;7,TRUNC(10.14*(J19-7)^1.08)," ")</f>
        <v> </v>
      </c>
      <c r="K20" s="27" t="str">
        <f>IF(K19=0," ",IF(K19&lt;480,TRUNC(0.03768*(480-K19)^1.85)," "))</f>
        <v> </v>
      </c>
      <c r="L20" s="231"/>
      <c r="M20" s="57">
        <f>SUM(B20:K20)</f>
        <v>0</v>
      </c>
      <c r="N20" s="30"/>
      <c r="O20" s="31">
        <f>MAX(B20:K20)</f>
        <v>0</v>
      </c>
      <c r="P20" s="196"/>
      <c r="Q20" s="207"/>
      <c r="R20" s="208"/>
    </row>
    <row r="21" spans="1:18" s="2" customFormat="1" ht="3.75" customHeight="1" hidden="1">
      <c r="A21" s="17" t="s">
        <v>23</v>
      </c>
      <c r="B21" s="53"/>
      <c r="C21" s="54"/>
      <c r="D21" s="55"/>
      <c r="E21" s="54"/>
      <c r="F21" s="55"/>
      <c r="G21" s="55"/>
      <c r="H21" s="55"/>
      <c r="I21" s="54"/>
      <c r="J21" s="55"/>
      <c r="K21" s="55"/>
      <c r="L21" s="232"/>
      <c r="M21" s="56"/>
      <c r="N21" s="51"/>
      <c r="O21" s="3"/>
      <c r="P21" s="194"/>
      <c r="Q21" s="201"/>
      <c r="R21" s="202"/>
    </row>
    <row r="22" spans="1:18" s="52" customFormat="1" ht="3.75" customHeight="1" hidden="1">
      <c r="A22" s="28" t="s">
        <v>24</v>
      </c>
      <c r="B22" s="40" t="str">
        <f>IF(B21=0," ",IF(B21&lt;18,TRUNC(25.4347*(18-B21)^1.81)," "))</f>
        <v> </v>
      </c>
      <c r="C22" s="59" t="str">
        <f>IF(C21&gt;220,TRUNC(0.14354*(C21-220)^1.4)," ")</f>
        <v> </v>
      </c>
      <c r="D22" s="59" t="str">
        <f>IF(D21&gt;1.5,TRUNC(51.39*(D21-1.5)^1.05)," ")</f>
        <v> </v>
      </c>
      <c r="E22" s="27" t="str">
        <f>IF(E21&gt;75,TRUNC(0.84565*(E21-75)^1.42)," ")</f>
        <v> </v>
      </c>
      <c r="F22" s="27" t="str">
        <f>IF(F21=0," ",IF(F21&lt;82,TRUNC(1.53775*(82-F21)^1.81)," "))</f>
        <v> </v>
      </c>
      <c r="G22" s="27" t="str">
        <f>IF(G21=0," ",IF(G21&lt;28.5,TRUNC(5.74352*(28.5-G21)^1.92)," "))</f>
        <v> </v>
      </c>
      <c r="H22" s="27" t="str">
        <f>IF(H21&gt;4,TRUNC(12.91*(H21-4)^1.1)," ")</f>
        <v> </v>
      </c>
      <c r="I22" s="27" t="str">
        <f>IF(I21&gt;100,TRUNC(0.2797*(I21-100)^1.35)," ")</f>
        <v> </v>
      </c>
      <c r="J22" s="27" t="str">
        <f>IF(J21&gt;7,TRUNC(10.14*(J21-7)^1.08)," ")</f>
        <v> </v>
      </c>
      <c r="K22" s="27" t="str">
        <f>IF(K21=0," ",IF(K21&lt;480,TRUNC(0.03768*(480-K21)^1.85)," "))</f>
        <v> </v>
      </c>
      <c r="L22" s="231"/>
      <c r="M22" s="57">
        <f>SUM(B22:K22)</f>
        <v>0</v>
      </c>
      <c r="N22" s="30"/>
      <c r="O22" s="31">
        <f>MAX(B22:K22)</f>
        <v>0</v>
      </c>
      <c r="P22" s="196"/>
      <c r="Q22" s="207"/>
      <c r="R22" s="208"/>
    </row>
    <row r="23" spans="1:18" s="2" customFormat="1" ht="3.75" customHeight="1" hidden="1">
      <c r="A23" s="17" t="s">
        <v>121</v>
      </c>
      <c r="B23" s="53"/>
      <c r="C23" s="54"/>
      <c r="D23" s="55"/>
      <c r="E23" s="54"/>
      <c r="F23" s="55"/>
      <c r="G23" s="55"/>
      <c r="H23" s="55"/>
      <c r="I23" s="54"/>
      <c r="J23" s="60"/>
      <c r="K23" s="55"/>
      <c r="L23" s="233"/>
      <c r="M23" s="23"/>
      <c r="N23" s="8"/>
      <c r="O23" s="3"/>
      <c r="P23" s="194"/>
      <c r="Q23" s="201"/>
      <c r="R23" s="202"/>
    </row>
    <row r="24" spans="1:18" s="52" customFormat="1" ht="3.75" customHeight="1" hidden="1">
      <c r="A24" s="61" t="s">
        <v>20</v>
      </c>
      <c r="B24" s="40" t="str">
        <f>IF(B23=0," ",IF(B23&lt;20.7,TRUNC(25.4347*(18-B23*B$78)^1.81)," "))</f>
        <v> </v>
      </c>
      <c r="C24" s="27" t="str">
        <f>IF(C23&gt;166,TRUNC(0.14354*(C23*C$78-220)^1.4)," ")</f>
        <v> </v>
      </c>
      <c r="D24" s="27" t="str">
        <f>IF(D23&gt;1.5,TRUNC(51.39*(D23*D$78-1.5)^1.05)," ")</f>
        <v> </v>
      </c>
      <c r="E24" s="27" t="str">
        <f>IF(E23&gt;58,TRUNC(0.84565*(E23*E$78-75)^1.42)," ")</f>
        <v> </v>
      </c>
      <c r="F24" s="27" t="str">
        <f>IF(F23=0," ",IF(F23&lt;96.35,TRUNC(1.53775*(82-F23*F$78)^1.81)," "))</f>
        <v> </v>
      </c>
      <c r="G24" s="27" t="str">
        <f>IF(G23=0," ",IF(G23&lt;28.5,TRUNC(5.74352*(28.5-G23*G$78)^1.92)," "))</f>
        <v> </v>
      </c>
      <c r="H24" s="27" t="str">
        <f>IF(H23&gt;4,TRUNC(12.91*(H23*H$78-4)^1.1)," ")</f>
        <v> </v>
      </c>
      <c r="I24" s="27" t="str">
        <f>IF(I23&gt;75,TRUNC(0.2797*(I23*I$78-100)^1.35)," ")</f>
        <v> </v>
      </c>
      <c r="J24" s="27" t="str">
        <f>IF(J23&gt;6,TRUNC(10.14*(J23*J$78-7)^1.08)," ")</f>
        <v> </v>
      </c>
      <c r="K24" s="27" t="str">
        <f>IF(K23=0," ",IF(K23&lt;580,TRUNC(0.03768*(480-K23*K$78)^1.85)," "))</f>
        <v> </v>
      </c>
      <c r="L24" s="231"/>
      <c r="M24" s="29">
        <f>SUM(B24:K24)</f>
        <v>0</v>
      </c>
      <c r="N24" s="30"/>
      <c r="O24" s="31">
        <f>MAX(B24:K24)</f>
        <v>0</v>
      </c>
      <c r="P24" s="196"/>
      <c r="Q24" s="207"/>
      <c r="R24" s="208"/>
    </row>
    <row r="25" spans="1:18" s="2" customFormat="1" ht="3.75" customHeight="1" hidden="1">
      <c r="A25" s="17" t="s">
        <v>114</v>
      </c>
      <c r="B25" s="53"/>
      <c r="C25" s="54"/>
      <c r="D25" s="55"/>
      <c r="E25" s="54"/>
      <c r="F25" s="55"/>
      <c r="G25" s="72"/>
      <c r="H25" s="55"/>
      <c r="I25" s="54"/>
      <c r="J25" s="55"/>
      <c r="K25" s="55"/>
      <c r="L25" s="233"/>
      <c r="M25" s="23"/>
      <c r="N25" s="8"/>
      <c r="O25" s="3"/>
      <c r="P25" s="193"/>
      <c r="Q25" s="201"/>
      <c r="R25" s="202"/>
    </row>
    <row r="26" spans="1:18" s="52" customFormat="1" ht="3.75" customHeight="1" hidden="1">
      <c r="A26" s="26" t="s">
        <v>33</v>
      </c>
      <c r="B26" s="40" t="str">
        <f>IF(B25=0," ",IF(B25&lt;20.7,TRUNC(25.4347*(18-B25*B$79)^1.81)," "))</f>
        <v> </v>
      </c>
      <c r="C26" s="27" t="str">
        <f>IF(C25&gt;166,TRUNC(0.14354*(C25*C$79-220)^1.4)," ")</f>
        <v> </v>
      </c>
      <c r="D26" s="27" t="str">
        <f>IF(D25&gt;1.5,TRUNC(51.39*(D25*D$79-1.5)^1.05)," ")</f>
        <v> </v>
      </c>
      <c r="E26" s="27" t="str">
        <f>IF(E25&gt;58,TRUNC(0.84565*(E25*E$79-75)^1.42)," ")</f>
        <v> </v>
      </c>
      <c r="F26" s="27" t="str">
        <f>IF(F25=0," ",IF(F25&lt;96.35,TRUNC(1.53775*(82-F25*F$79)^1.81)," "))</f>
        <v> </v>
      </c>
      <c r="G26" s="27" t="str">
        <f>IF(G25=0," ",TRUNC(5.74352*(28.5-G25*G$79)^1.92))</f>
        <v> </v>
      </c>
      <c r="H26" s="27" t="str">
        <f>IF(H25&gt;4,TRUNC(12.91*(H25*H$80-4)^1.1)," ")</f>
        <v> </v>
      </c>
      <c r="I26" s="27" t="str">
        <f>IF(I25&gt;75,TRUNC(0.2797*(I25*I$79-100)^1.35)," ")</f>
        <v> </v>
      </c>
      <c r="J26" s="73" t="str">
        <f>IF(J25&gt;6,TRUNC(10.14*(J25*J$79-7)^1.08)," ")</f>
        <v> </v>
      </c>
      <c r="K26" s="27" t="str">
        <f>IF(K25=0," ",TRUNC(0.03768*(480-K25*K$79)^1.85))</f>
        <v> </v>
      </c>
      <c r="L26" s="231"/>
      <c r="M26" s="29">
        <f>SUM(B26:K26)</f>
        <v>0</v>
      </c>
      <c r="N26" s="30"/>
      <c r="O26" s="31">
        <f>MAX(B26:K26)</f>
        <v>0</v>
      </c>
      <c r="P26" s="193"/>
      <c r="Q26" s="207"/>
      <c r="R26" s="208"/>
    </row>
    <row r="27" spans="1:18" s="13" customFormat="1" ht="42.75" customHeight="1">
      <c r="A27" s="62" t="s">
        <v>25</v>
      </c>
      <c r="B27" s="63"/>
      <c r="D27" s="62"/>
      <c r="E27" s="62"/>
      <c r="F27" s="62"/>
      <c r="G27" s="62" t="s">
        <v>124</v>
      </c>
      <c r="H27" s="62"/>
      <c r="I27" s="62"/>
      <c r="J27" s="62"/>
      <c r="L27" s="225"/>
      <c r="M27" s="64"/>
      <c r="N27" s="65"/>
      <c r="O27" s="66"/>
      <c r="P27" s="195"/>
      <c r="Q27" s="199"/>
      <c r="R27" s="200"/>
    </row>
    <row r="28" spans="1:16" ht="18">
      <c r="A28" s="13"/>
      <c r="B28" s="63"/>
      <c r="C28" s="13"/>
      <c r="D28" s="62" t="s">
        <v>26</v>
      </c>
      <c r="E28" s="62"/>
      <c r="F28" s="62"/>
      <c r="G28" s="62" t="s">
        <v>125</v>
      </c>
      <c r="H28" s="62" t="s">
        <v>27</v>
      </c>
      <c r="I28" s="62"/>
      <c r="J28" s="62" t="s">
        <v>28</v>
      </c>
      <c r="K28" s="13"/>
      <c r="M28" s="67"/>
      <c r="N28" s="68"/>
      <c r="P28" s="195"/>
    </row>
    <row r="29" spans="1:16" ht="18">
      <c r="A29" s="13"/>
      <c r="B29" s="63"/>
      <c r="C29" s="13"/>
      <c r="D29" s="69" t="s">
        <v>29</v>
      </c>
      <c r="E29" s="70"/>
      <c r="F29" s="70"/>
      <c r="G29" s="62" t="s">
        <v>30</v>
      </c>
      <c r="H29" s="62" t="s">
        <v>31</v>
      </c>
      <c r="I29" s="62"/>
      <c r="J29" s="62" t="s">
        <v>32</v>
      </c>
      <c r="K29" s="13"/>
      <c r="M29" s="67"/>
      <c r="N29" s="68"/>
      <c r="P29" s="195"/>
    </row>
    <row r="30" spans="2:18" s="2" customFormat="1" ht="30" customHeight="1">
      <c r="B30" s="7" t="s">
        <v>0</v>
      </c>
      <c r="C30" s="8" t="s">
        <v>1</v>
      </c>
      <c r="D30" s="8" t="s">
        <v>2</v>
      </c>
      <c r="E30" s="8" t="s">
        <v>3</v>
      </c>
      <c r="F30" s="8" t="s">
        <v>4</v>
      </c>
      <c r="G30" s="8" t="s">
        <v>5</v>
      </c>
      <c r="H30" s="8" t="s">
        <v>6</v>
      </c>
      <c r="I30" s="8" t="s">
        <v>7</v>
      </c>
      <c r="J30" s="8" t="s">
        <v>8</v>
      </c>
      <c r="K30" s="8" t="s">
        <v>9</v>
      </c>
      <c r="L30" s="233"/>
      <c r="M30" s="71" t="s">
        <v>10</v>
      </c>
      <c r="N30" s="11"/>
      <c r="O30" s="3" t="s">
        <v>18</v>
      </c>
      <c r="P30" s="193"/>
      <c r="Q30" s="201"/>
      <c r="R30" s="202"/>
    </row>
    <row r="31" spans="1:18" s="2" customFormat="1" ht="9" customHeight="1">
      <c r="A31" s="17" t="s">
        <v>113</v>
      </c>
      <c r="B31" s="53"/>
      <c r="C31" s="54"/>
      <c r="D31" s="55"/>
      <c r="E31" s="54"/>
      <c r="F31" s="55"/>
      <c r="G31" s="55"/>
      <c r="H31" s="55"/>
      <c r="I31" s="54"/>
      <c r="J31" s="55"/>
      <c r="K31" s="55"/>
      <c r="L31" s="233"/>
      <c r="M31" s="23"/>
      <c r="N31" s="8"/>
      <c r="O31" s="3"/>
      <c r="P31" s="197" t="e">
        <f>100*P32/M32</f>
        <v>#DIV/0!</v>
      </c>
      <c r="Q31" s="203" t="e">
        <f>100*Q32/M32</f>
        <v>#DIV/0!</v>
      </c>
      <c r="R31" s="204" t="e">
        <f>100*R32/M32</f>
        <v>#DIV/0!</v>
      </c>
    </row>
    <row r="32" spans="1:18" s="52" customFormat="1" ht="9" customHeight="1">
      <c r="A32" s="77" t="s">
        <v>40</v>
      </c>
      <c r="B32" s="40" t="str">
        <f>IF(B31=0," ",IF(B31&lt;20.7,TRUNC(25.4347*(18-B31*B$80)^1.81)," "))</f>
        <v> </v>
      </c>
      <c r="C32" s="27" t="str">
        <f>IF(C31&gt;166,TRUNC(0.14354*(C31*C$80-220)^1.4)," ")</f>
        <v> </v>
      </c>
      <c r="D32" s="27" t="str">
        <f>IF(D31&gt;1.5,TRUNC(51.39*(D31*D$80-1.5)^1.05)," ")</f>
        <v> </v>
      </c>
      <c r="E32" s="27" t="str">
        <f>IF(E31&gt;58,TRUNC(0.84565*(E31*E$80-75)^1.42)," ")</f>
        <v> </v>
      </c>
      <c r="F32" s="27" t="str">
        <f>IF(F31=0," ",IF(F31&lt;96.35,TRUNC(1.53775*(82-F31*F$80)^1.81)," "))</f>
        <v> </v>
      </c>
      <c r="G32" s="27" t="str">
        <f>IF(G31=0," ",IF(G31&lt;31,TRUNC(5.74352*(28.5-G31*G$83)^1.92)," "))</f>
        <v> </v>
      </c>
      <c r="H32" s="27" t="str">
        <f>IF(H31&gt;4,TRUNC(12.91*(H31*H$79-4)^1.1)," ")</f>
        <v> </v>
      </c>
      <c r="I32" s="27" t="str">
        <f>IF(I31&gt;75,TRUNC(0.2797*(I31*I$80-100)^1.35)," ")</f>
        <v> </v>
      </c>
      <c r="J32" s="73" t="str">
        <f>IF(J31&gt;6,TRUNC(10.14*(J31*J$80-7)^1.08)," ")</f>
        <v> </v>
      </c>
      <c r="K32" s="27" t="str">
        <f>IF(K31=0," ",TRUNC(0.03768*(480-K31*K$80)^1.85))</f>
        <v> </v>
      </c>
      <c r="L32" s="231"/>
      <c r="M32" s="29">
        <f>SUM(B32:K32)</f>
        <v>0</v>
      </c>
      <c r="N32" s="30" t="s">
        <v>137</v>
      </c>
      <c r="O32" s="31">
        <f>MAX(B32:K32)</f>
        <v>0</v>
      </c>
      <c r="P32" s="198">
        <f>SUM(B32,F32,G32,K32)</f>
        <v>0</v>
      </c>
      <c r="Q32" s="205">
        <f>SUM(C32,E32,I32)</f>
        <v>0</v>
      </c>
      <c r="R32" s="206">
        <f>SUM(D32,H32,J32)</f>
        <v>0</v>
      </c>
    </row>
    <row r="33" spans="1:18" s="2" customFormat="1" ht="2.25" customHeight="1">
      <c r="A33" s="17" t="s">
        <v>115</v>
      </c>
      <c r="B33" s="53"/>
      <c r="C33" s="54"/>
      <c r="D33" s="55"/>
      <c r="E33" s="54"/>
      <c r="F33" s="55"/>
      <c r="G33" s="55"/>
      <c r="H33" s="55"/>
      <c r="I33" s="54"/>
      <c r="J33" s="55"/>
      <c r="K33" s="55"/>
      <c r="L33" s="233"/>
      <c r="M33" s="23"/>
      <c r="N33" s="8"/>
      <c r="O33" s="3"/>
      <c r="P33" s="197" t="e">
        <f>100*P34/M34</f>
        <v>#DIV/0!</v>
      </c>
      <c r="Q33" s="203" t="e">
        <f>100*Q34/M34</f>
        <v>#DIV/0!</v>
      </c>
      <c r="R33" s="204" t="e">
        <f>100*R34/M34</f>
        <v>#DIV/0!</v>
      </c>
    </row>
    <row r="34" spans="1:18" s="52" customFormat="1" ht="2.25" customHeight="1">
      <c r="A34" s="77" t="s">
        <v>40</v>
      </c>
      <c r="B34" s="40" t="str">
        <f>IF(B33=0," ",IF(B33&lt;20.7,TRUNC(25.4347*(18-B33*B$80)^1.81)," "))</f>
        <v> </v>
      </c>
      <c r="C34" s="27" t="str">
        <f>IF(C33&gt;166,TRUNC(0.14354*(C33*C$80-220)^1.4)," ")</f>
        <v> </v>
      </c>
      <c r="D34" s="27" t="str">
        <f>IF(D33&gt;1.5,TRUNC(51.39*(D33*D$80-1.5)^1.05)," ")</f>
        <v> </v>
      </c>
      <c r="E34" s="27" t="str">
        <f>IF(E33&gt;58,TRUNC(0.84565*(E33*E$80-75)^1.42)," ")</f>
        <v> </v>
      </c>
      <c r="F34" s="27" t="str">
        <f>IF(F33=0," ",IF(F33&lt;96.35,TRUNC(1.53775*(82-F33*F$80)^1.81)," "))</f>
        <v> </v>
      </c>
      <c r="G34" s="27" t="str">
        <f>IF(G33=0," ",TRUNC(5.74352*(28.5-G33*G$80)^1.92))</f>
        <v> </v>
      </c>
      <c r="H34" s="27" t="str">
        <f>IF(H33&gt;4,TRUNC(12.91*(H33*H$79-4)^1.1)," ")</f>
        <v> </v>
      </c>
      <c r="I34" s="27" t="str">
        <f>IF(I33&gt;75,TRUNC(0.2797*(I33*I$80-100)^1.35)," ")</f>
        <v> </v>
      </c>
      <c r="J34" s="73" t="str">
        <f>IF(J33&gt;6,TRUNC(10.14*(J33*J$80-7)^1.08)," ")</f>
        <v> </v>
      </c>
      <c r="K34" s="27" t="str">
        <f>IF(K33=0," ",TRUNC(0.03768*(480-K33*K$80)^1.85))</f>
        <v> </v>
      </c>
      <c r="L34" s="231"/>
      <c r="M34" s="29">
        <f>SUM(B34:K34)</f>
        <v>0</v>
      </c>
      <c r="N34" s="30"/>
      <c r="O34" s="31">
        <f>MAX(B34:K34)</f>
        <v>0</v>
      </c>
      <c r="P34" s="198">
        <f>SUM(B34,F34,G34,K34)</f>
        <v>0</v>
      </c>
      <c r="Q34" s="205">
        <f>SUM(C34,E34,I34)</f>
        <v>0</v>
      </c>
      <c r="R34" s="206">
        <f>SUM(D34,H34,J34)</f>
        <v>0</v>
      </c>
    </row>
    <row r="35" spans="1:18" s="13" customFormat="1" ht="2.25" customHeight="1">
      <c r="A35" s="17" t="s">
        <v>116</v>
      </c>
      <c r="B35" s="53">
        <v>20.6</v>
      </c>
      <c r="C35" s="54">
        <v>168</v>
      </c>
      <c r="D35" s="55">
        <v>1.21</v>
      </c>
      <c r="E35" s="54">
        <v>59</v>
      </c>
      <c r="F35" s="55">
        <v>96.3</v>
      </c>
      <c r="G35" s="55">
        <v>30.75</v>
      </c>
      <c r="H35" s="55">
        <v>3.8</v>
      </c>
      <c r="I35" s="54">
        <v>76</v>
      </c>
      <c r="J35" s="55">
        <v>5.1</v>
      </c>
      <c r="K35" s="55">
        <v>579</v>
      </c>
      <c r="L35" s="233"/>
      <c r="M35" s="80"/>
      <c r="N35" s="65"/>
      <c r="O35" s="66"/>
      <c r="P35" s="197" t="e">
        <f>100*P36/M36</f>
        <v>#NUM!</v>
      </c>
      <c r="Q35" s="203" t="e">
        <f>100*Q36/M36</f>
        <v>#NUM!</v>
      </c>
      <c r="R35" s="204" t="e">
        <f>100*R36/M36</f>
        <v>#NUM!</v>
      </c>
    </row>
    <row r="36" spans="1:18" s="52" customFormat="1" ht="2.25" customHeight="1">
      <c r="A36" s="77" t="s">
        <v>117</v>
      </c>
      <c r="B36" s="40">
        <f>IF(B35=0," ",IF(B35&lt;21.7,TRUNC(25.4347*(18-B35*B$81)^1.81)," "))</f>
        <v>0</v>
      </c>
      <c r="C36" s="27">
        <f>IF(C35&gt;155,TRUNC(0.14354*(C35*C$81-220)^1.4)," ")</f>
        <v>0</v>
      </c>
      <c r="D36" s="27">
        <f>IF(D35&gt;1.2,TRUNC(51.39*(D35*D$81-1.5)^1.05)," ")</f>
        <v>1</v>
      </c>
      <c r="E36" s="27" t="e">
        <f>IF(E35&gt;55,TRUNC(0.84565*(E35*E$81-75)^1.42)," ")</f>
        <v>#NUM!</v>
      </c>
      <c r="F36" s="27">
        <v>76.1</v>
      </c>
      <c r="G36" s="27">
        <f>IF(G35=0," ",IF(G35&lt;31,TRUNC(5.74352*(28.5-G35*G$81)^1.92)," "))</f>
        <v>0</v>
      </c>
      <c r="H36" s="27">
        <f>IF(H35&gt;3.7,TRUNC(12.91*(H35*H$81-4)^1.1)," ")</f>
        <v>2</v>
      </c>
      <c r="I36" s="27">
        <f>IF(I35&gt;69,TRUNC(0.2797*(I35*I$81-100)^1.35)," ")</f>
        <v>0</v>
      </c>
      <c r="J36" s="27" t="e">
        <f>IF(J35&gt;4.8,TRUNC(10.14*(J35*J$81-7)^1.08)," ")</f>
        <v>#NUM!</v>
      </c>
      <c r="K36" s="27" t="e">
        <f>IF(K35=0," ",IF(K35&lt;604.36,TRUNC(0.03768*(480-K35*K$81)^1.85)," "))</f>
        <v>#NUM!</v>
      </c>
      <c r="L36" s="228"/>
      <c r="M36" s="29" t="e">
        <f>SUM(B36:K36)</f>
        <v>#NUM!</v>
      </c>
      <c r="N36" s="30"/>
      <c r="O36" s="31" t="e">
        <f>MAX(B36:K36)</f>
        <v>#NUM!</v>
      </c>
      <c r="P36" s="198" t="e">
        <f>SUM(B36,F36,G36,K36)</f>
        <v>#NUM!</v>
      </c>
      <c r="Q36" s="205" t="e">
        <f>SUM(C36,E36,I36)</f>
        <v>#NUM!</v>
      </c>
      <c r="R36" s="206" t="e">
        <f>SUM(D36,H36,J36)</f>
        <v>#NUM!</v>
      </c>
    </row>
    <row r="37" spans="1:18" s="2" customFormat="1" ht="6.75" customHeight="1" hidden="1">
      <c r="A37" s="263" t="s">
        <v>145</v>
      </c>
      <c r="B37" s="264">
        <v>14.87</v>
      </c>
      <c r="C37" s="265">
        <v>460</v>
      </c>
      <c r="D37" s="266">
        <v>8.88</v>
      </c>
      <c r="E37" s="265">
        <v>128</v>
      </c>
      <c r="F37" s="266">
        <v>74.97</v>
      </c>
      <c r="G37" s="266">
        <v>20.3</v>
      </c>
      <c r="H37" s="266">
        <v>27.61</v>
      </c>
      <c r="I37" s="54">
        <v>250</v>
      </c>
      <c r="J37" s="79">
        <v>30.5</v>
      </c>
      <c r="K37" s="79">
        <v>373</v>
      </c>
      <c r="L37" s="267"/>
      <c r="M37" s="268"/>
      <c r="N37" s="8"/>
      <c r="O37" s="3"/>
      <c r="P37" s="197">
        <f>100*P38/M38</f>
        <v>38.95174708818636</v>
      </c>
      <c r="Q37" s="203">
        <f>100*Q38/M38</f>
        <v>33.2279534109817</v>
      </c>
      <c r="R37" s="204">
        <f>100*R38/M38</f>
        <v>27.820299500831947</v>
      </c>
    </row>
    <row r="38" spans="1:256" s="78" customFormat="1" ht="6.75" customHeight="1" hidden="1">
      <c r="A38" s="269" t="s">
        <v>120</v>
      </c>
      <c r="B38" s="88">
        <f>IF(B37=0," ",IF(B37&lt;21.7,TRUNC(25.4347*(18-B37*B$83)^1.81)," "))</f>
        <v>639</v>
      </c>
      <c r="C38" s="89">
        <f>IF(C37&gt;155,TRUNC(0.14354*(C37*C$83-220)^1.4)," ")</f>
        <v>810</v>
      </c>
      <c r="D38" s="89">
        <f>IF(D37&gt;1.2,TRUNC(51.39*(D37*D$83-1.5)^1.05)," ")</f>
        <v>611</v>
      </c>
      <c r="E38" s="89">
        <f>IF(E37&gt;55,TRUNC(0.84565*(E37*E$83-75)^1.42)," ")</f>
        <v>606</v>
      </c>
      <c r="F38" s="89">
        <f>IF(F37=0," ",IF(F37&lt;105,TRUNC(1.53775*(82-F37*F$83)^1.81)," "))</f>
        <v>457</v>
      </c>
      <c r="G38" s="89">
        <f>IF(G37=0," ",IF(G37&lt;31,TRUNC(5.74352*(28.5-G37*G$83)^1.92)," "))</f>
        <v>570</v>
      </c>
      <c r="H38" s="89">
        <f>IF(H37&gt;3.7,TRUNC(12.91*(H37*H$83-4)^1.1)," ")</f>
        <v>507</v>
      </c>
      <c r="I38" s="89">
        <f>IF(I37&gt;69,TRUNC(0.2797*(I37*I$83-100)^1.35)," ")</f>
        <v>581</v>
      </c>
      <c r="J38" s="89">
        <f>IF(J37&gt;4.8,TRUNC(10.14*(J37*J$83-7)^1.08)," ")</f>
        <v>554</v>
      </c>
      <c r="K38" s="89">
        <f>IF(K37=0," ",IF(K37&lt;604.36,TRUNC(0.03768*(480-K37*K$83)^1.85)," "))</f>
        <v>675</v>
      </c>
      <c r="L38" s="270"/>
      <c r="M38" s="271">
        <f>SUM(B38:K38)</f>
        <v>6010</v>
      </c>
      <c r="N38" s="30"/>
      <c r="O38" s="31">
        <f>MAX(B38:K38)</f>
        <v>810</v>
      </c>
      <c r="P38" s="198">
        <f>SUM(B38,F38,G38,K38)</f>
        <v>2341</v>
      </c>
      <c r="Q38" s="205">
        <f>SUM(C38,E38,I38)</f>
        <v>1997</v>
      </c>
      <c r="R38" s="206">
        <f>SUM(D38,H38,J38)</f>
        <v>1672</v>
      </c>
      <c r="S38" s="27" t="str">
        <f>IF(S37=0," ",IF(S37&lt;99.46,TRUNC(1.53775*(82-S37*S$82)^1.81)," "))</f>
        <v> </v>
      </c>
      <c r="T38" s="27" t="str">
        <f>IF(T37=0," ",IF(T37&lt;31,TRUNC(5.74352*(28.5-T37*T$82)^1.92)," "))</f>
        <v> </v>
      </c>
      <c r="U38" s="27" t="str">
        <f>IF(U37&gt;3.7,TRUNC(12.91*(U37*U$82-4)^1.1)," ")</f>
        <v> </v>
      </c>
      <c r="V38" s="27" t="str">
        <f>IF(V37&gt;69,TRUNC(0.2797*(V37*V$82-100)^1.35)," ")</f>
        <v> </v>
      </c>
      <c r="W38" s="27" t="str">
        <f>IF(W37&gt;4.8,TRUNC(10.14*(W37*W$82-7)^1.08)," ")</f>
        <v> </v>
      </c>
      <c r="X38" s="58" t="str">
        <f>IF(X37=0," ",IF(X37&lt;604.36,TRUNC(0.03768*(480-X37*X$82)^1.85)," "))</f>
        <v> </v>
      </c>
      <c r="Z38" s="29">
        <f>SUM(O38:X38)</f>
        <v>6820</v>
      </c>
      <c r="AA38" s="77" t="s">
        <v>34</v>
      </c>
      <c r="AB38" s="40" t="str">
        <f>IF(AB37=0," ",IF(AB37&lt;21.7,TRUNC(25.4347*(18-AB37*AB$82)^1.81)," "))</f>
        <v> </v>
      </c>
      <c r="AC38" s="27" t="str">
        <f>IF(AC37&gt;155,TRUNC(0.14354*(AC37*AC$82-220)^1.4)," ")</f>
        <v> </v>
      </c>
      <c r="AD38" s="27" t="str">
        <f>IF(AD37&gt;1.2,TRUNC(51.39*(AD37*AD$82-1.5)^1.05)," ")</f>
        <v> </v>
      </c>
      <c r="AE38" s="27" t="str">
        <f>IF(AE37&gt;55,TRUNC(0.84565*(AE37*AE$82-75)^1.42)," ")</f>
        <v> </v>
      </c>
      <c r="AF38" s="27" t="str">
        <f>IF(AF37=0," ",IF(AF37&lt;99.46,TRUNC(1.53775*(82-AF37*AF$82)^1.81)," "))</f>
        <v> </v>
      </c>
      <c r="AG38" s="27" t="str">
        <f>IF(AG37=0," ",IF(AG37&lt;31,TRUNC(5.74352*(28.5-AG37*AG$82)^1.92)," "))</f>
        <v> </v>
      </c>
      <c r="AH38" s="27" t="str">
        <f>IF(AH37&gt;3.7,TRUNC(12.91*(AH37*AH$82-4)^1.1)," ")</f>
        <v> </v>
      </c>
      <c r="AI38" s="27" t="str">
        <f>IF(AI37&gt;69,TRUNC(0.2797*(AI37*AI$82-100)^1.35)," ")</f>
        <v> </v>
      </c>
      <c r="AJ38" s="27" t="str">
        <f>IF(AJ37&gt;4.8,TRUNC(10.14*(AJ37*AJ$82-7)^1.08)," ")</f>
        <v> </v>
      </c>
      <c r="AK38" s="58" t="str">
        <f>IF(AK37=0," ",IF(AK37&lt;604.36,TRUNC(0.03768*(480-AK37*AK$82)^1.85)," "))</f>
        <v> </v>
      </c>
      <c r="AM38" s="29">
        <f>SUM(AB38:AK38)</f>
        <v>0</v>
      </c>
      <c r="AN38" s="77" t="s">
        <v>34</v>
      </c>
      <c r="AO38" s="40" t="str">
        <f>IF(AO37=0," ",IF(AO37&lt;21.7,TRUNC(25.4347*(18-AO37*AO$82)^1.81)," "))</f>
        <v> </v>
      </c>
      <c r="AP38" s="27" t="str">
        <f>IF(AP37&gt;155,TRUNC(0.14354*(AP37*AP$82-220)^1.4)," ")</f>
        <v> </v>
      </c>
      <c r="AQ38" s="27" t="str">
        <f>IF(AQ37&gt;1.2,TRUNC(51.39*(AQ37*AQ$82-1.5)^1.05)," ")</f>
        <v> </v>
      </c>
      <c r="AR38" s="27" t="str">
        <f>IF(AR37&gt;55,TRUNC(0.84565*(AR37*AR$82-75)^1.42)," ")</f>
        <v> </v>
      </c>
      <c r="AS38" s="27" t="str">
        <f>IF(AS37=0," ",IF(AS37&lt;99.46,TRUNC(1.53775*(82-AS37*AS$82)^1.81)," "))</f>
        <v> </v>
      </c>
      <c r="AT38" s="27" t="str">
        <f>IF(AT37=0," ",IF(AT37&lt;31,TRUNC(5.74352*(28.5-AT37*AT$82)^1.92)," "))</f>
        <v> </v>
      </c>
      <c r="AU38" s="27" t="str">
        <f>IF(AU37&gt;3.7,TRUNC(12.91*(AU37*AU$82-4)^1.1)," ")</f>
        <v> </v>
      </c>
      <c r="AV38" s="27" t="str">
        <f>IF(AV37&gt;69,TRUNC(0.2797*(AV37*AV$82-100)^1.35)," ")</f>
        <v> </v>
      </c>
      <c r="AW38" s="27" t="str">
        <f>IF(AW37&gt;4.8,TRUNC(10.14*(AW37*AW$82-7)^1.08)," ")</f>
        <v> </v>
      </c>
      <c r="AX38" s="58" t="str">
        <f>IF(AX37=0," ",IF(AX37&lt;604.36,TRUNC(0.03768*(480-AX37*AX$82)^1.85)," "))</f>
        <v> </v>
      </c>
      <c r="AZ38" s="29">
        <f>SUM(AO38:AX38)</f>
        <v>0</v>
      </c>
      <c r="BA38" s="77" t="s">
        <v>34</v>
      </c>
      <c r="BB38" s="40" t="str">
        <f>IF(BB37=0," ",IF(BB37&lt;21.7,TRUNC(25.4347*(18-BB37*BB$82)^1.81)," "))</f>
        <v> </v>
      </c>
      <c r="BC38" s="27" t="str">
        <f>IF(BC37&gt;155,TRUNC(0.14354*(BC37*BC$82-220)^1.4)," ")</f>
        <v> </v>
      </c>
      <c r="BD38" s="27" t="str">
        <f>IF(BD37&gt;1.2,TRUNC(51.39*(BD37*BD$82-1.5)^1.05)," ")</f>
        <v> </v>
      </c>
      <c r="BE38" s="27" t="str">
        <f>IF(BE37&gt;55,TRUNC(0.84565*(BE37*BE$82-75)^1.42)," ")</f>
        <v> </v>
      </c>
      <c r="BF38" s="27" t="str">
        <f>IF(BF37=0," ",IF(BF37&lt;99.46,TRUNC(1.53775*(82-BF37*BF$82)^1.81)," "))</f>
        <v> </v>
      </c>
      <c r="BG38" s="27" t="str">
        <f>IF(BG37=0," ",IF(BG37&lt;31,TRUNC(5.74352*(28.5-BG37*BG$82)^1.92)," "))</f>
        <v> </v>
      </c>
      <c r="BH38" s="27" t="str">
        <f>IF(BH37&gt;3.7,TRUNC(12.91*(BH37*BH$82-4)^1.1)," ")</f>
        <v> </v>
      </c>
      <c r="BI38" s="27" t="str">
        <f>IF(BI37&gt;69,TRUNC(0.2797*(BI37*BI$82-100)^1.35)," ")</f>
        <v> </v>
      </c>
      <c r="BJ38" s="27" t="str">
        <f>IF(BJ37&gt;4.8,TRUNC(10.14*(BJ37*BJ$82-7)^1.08)," ")</f>
        <v> </v>
      </c>
      <c r="BK38" s="58" t="str">
        <f>IF(BK37=0," ",IF(BK37&lt;604.36,TRUNC(0.03768*(480-BK37*BK$82)^1.85)," "))</f>
        <v> </v>
      </c>
      <c r="BM38" s="29">
        <f>SUM(BB38:BK38)</f>
        <v>0</v>
      </c>
      <c r="BN38" s="77" t="s">
        <v>34</v>
      </c>
      <c r="BO38" s="40" t="str">
        <f>IF(BO37=0," ",IF(BO37&lt;21.7,TRUNC(25.4347*(18-BO37*BO$82)^1.81)," "))</f>
        <v> </v>
      </c>
      <c r="BP38" s="27" t="str">
        <f>IF(BP37&gt;155,TRUNC(0.14354*(BP37*BP$82-220)^1.4)," ")</f>
        <v> </v>
      </c>
      <c r="BQ38" s="27" t="str">
        <f>IF(BQ37&gt;1.2,TRUNC(51.39*(BQ37*BQ$82-1.5)^1.05)," ")</f>
        <v> </v>
      </c>
      <c r="BR38" s="27" t="str">
        <f>IF(BR37&gt;55,TRUNC(0.84565*(BR37*BR$82-75)^1.42)," ")</f>
        <v> </v>
      </c>
      <c r="BS38" s="27" t="str">
        <f>IF(BS37=0," ",IF(BS37&lt;99.46,TRUNC(1.53775*(82-BS37*BS$82)^1.81)," "))</f>
        <v> </v>
      </c>
      <c r="BT38" s="27" t="str">
        <f>IF(BT37=0," ",IF(BT37&lt;31,TRUNC(5.74352*(28.5-BT37*BT$82)^1.92)," "))</f>
        <v> </v>
      </c>
      <c r="BU38" s="27" t="str">
        <f>IF(BU37&gt;3.7,TRUNC(12.91*(BU37*BU$82-4)^1.1)," ")</f>
        <v> </v>
      </c>
      <c r="BV38" s="27" t="str">
        <f>IF(BV37&gt;69,TRUNC(0.2797*(BV37*BV$82-100)^1.35)," ")</f>
        <v> </v>
      </c>
      <c r="BW38" s="27" t="str">
        <f>IF(BW37&gt;4.8,TRUNC(10.14*(BW37*BW$82-7)^1.08)," ")</f>
        <v> </v>
      </c>
      <c r="BX38" s="58" t="str">
        <f>IF(BX37=0," ",IF(BX37&lt;604.36,TRUNC(0.03768*(480-BX37*BX$82)^1.85)," "))</f>
        <v> </v>
      </c>
      <c r="BZ38" s="29">
        <f>SUM(BO38:BX38)</f>
        <v>0</v>
      </c>
      <c r="CA38" s="77" t="s">
        <v>34</v>
      </c>
      <c r="CB38" s="40" t="str">
        <f>IF(CB37=0," ",IF(CB37&lt;21.7,TRUNC(25.4347*(18-CB37*CB$82)^1.81)," "))</f>
        <v> </v>
      </c>
      <c r="CC38" s="27" t="str">
        <f>IF(CC37&gt;155,TRUNC(0.14354*(CC37*CC$82-220)^1.4)," ")</f>
        <v> </v>
      </c>
      <c r="CD38" s="27" t="str">
        <f>IF(CD37&gt;1.2,TRUNC(51.39*(CD37*CD$82-1.5)^1.05)," ")</f>
        <v> </v>
      </c>
      <c r="CE38" s="27" t="str">
        <f>IF(CE37&gt;55,TRUNC(0.84565*(CE37*CE$82-75)^1.42)," ")</f>
        <v> </v>
      </c>
      <c r="CF38" s="27" t="str">
        <f>IF(CF37=0," ",IF(CF37&lt;99.46,TRUNC(1.53775*(82-CF37*CF$82)^1.81)," "))</f>
        <v> </v>
      </c>
      <c r="CG38" s="27" t="str">
        <f>IF(CG37=0," ",IF(CG37&lt;31,TRUNC(5.74352*(28.5-CG37*CG$82)^1.92)," "))</f>
        <v> </v>
      </c>
      <c r="CH38" s="27" t="str">
        <f>IF(CH37&gt;3.7,TRUNC(12.91*(CH37*CH$82-4)^1.1)," ")</f>
        <v> </v>
      </c>
      <c r="CI38" s="27" t="str">
        <f>IF(CI37&gt;69,TRUNC(0.2797*(CI37*CI$82-100)^1.35)," ")</f>
        <v> </v>
      </c>
      <c r="CJ38" s="27" t="str">
        <f>IF(CJ37&gt;4.8,TRUNC(10.14*(CJ37*CJ$82-7)^1.08)," ")</f>
        <v> </v>
      </c>
      <c r="CK38" s="58" t="str">
        <f>IF(CK37=0," ",IF(CK37&lt;604.36,TRUNC(0.03768*(480-CK37*CK$82)^1.85)," "))</f>
        <v> </v>
      </c>
      <c r="CM38" s="29">
        <f>SUM(CB38:CK38)</f>
        <v>0</v>
      </c>
      <c r="CN38" s="77" t="s">
        <v>34</v>
      </c>
      <c r="CO38" s="40" t="str">
        <f>IF(CO37=0," ",IF(CO37&lt;21.7,TRUNC(25.4347*(18-CO37*CO$82)^1.81)," "))</f>
        <v> </v>
      </c>
      <c r="CP38" s="27" t="str">
        <f>IF(CP37&gt;155,TRUNC(0.14354*(CP37*CP$82-220)^1.4)," ")</f>
        <v> </v>
      </c>
      <c r="CQ38" s="27" t="str">
        <f>IF(CQ37&gt;1.2,TRUNC(51.39*(CQ37*CQ$82-1.5)^1.05)," ")</f>
        <v> </v>
      </c>
      <c r="CR38" s="27" t="str">
        <f>IF(CR37&gt;55,TRUNC(0.84565*(CR37*CR$82-75)^1.42)," ")</f>
        <v> </v>
      </c>
      <c r="CS38" s="27" t="str">
        <f>IF(CS37=0," ",IF(CS37&lt;99.46,TRUNC(1.53775*(82-CS37*CS$82)^1.81)," "))</f>
        <v> </v>
      </c>
      <c r="CT38" s="27" t="str">
        <f>IF(CT37=0," ",IF(CT37&lt;31,TRUNC(5.74352*(28.5-CT37*CT$82)^1.92)," "))</f>
        <v> </v>
      </c>
      <c r="CU38" s="27" t="str">
        <f>IF(CU37&gt;3.7,TRUNC(12.91*(CU37*CU$82-4)^1.1)," ")</f>
        <v> </v>
      </c>
      <c r="CV38" s="27" t="str">
        <f>IF(CV37&gt;69,TRUNC(0.2797*(CV37*CV$82-100)^1.35)," ")</f>
        <v> </v>
      </c>
      <c r="CW38" s="27" t="str">
        <f>IF(CW37&gt;4.8,TRUNC(10.14*(CW37*CW$82-7)^1.08)," ")</f>
        <v> </v>
      </c>
      <c r="CX38" s="58" t="str">
        <f>IF(CX37=0," ",IF(CX37&lt;604.36,TRUNC(0.03768*(480-CX37*CX$82)^1.85)," "))</f>
        <v> </v>
      </c>
      <c r="CZ38" s="29">
        <f>SUM(CO38:CX38)</f>
        <v>0</v>
      </c>
      <c r="DA38" s="77" t="s">
        <v>34</v>
      </c>
      <c r="DB38" s="40" t="str">
        <f>IF(DB37=0," ",IF(DB37&lt;21.7,TRUNC(25.4347*(18-DB37*DB$82)^1.81)," "))</f>
        <v> </v>
      </c>
      <c r="DC38" s="27" t="str">
        <f>IF(DC37&gt;155,TRUNC(0.14354*(DC37*DC$82-220)^1.4)," ")</f>
        <v> </v>
      </c>
      <c r="DD38" s="27" t="str">
        <f>IF(DD37&gt;1.2,TRUNC(51.39*(DD37*DD$82-1.5)^1.05)," ")</f>
        <v> </v>
      </c>
      <c r="DE38" s="27" t="str">
        <f>IF(DE37&gt;55,TRUNC(0.84565*(DE37*DE$82-75)^1.42)," ")</f>
        <v> </v>
      </c>
      <c r="DF38" s="27" t="str">
        <f>IF(DF37=0," ",IF(DF37&lt;99.46,TRUNC(1.53775*(82-DF37*DF$82)^1.81)," "))</f>
        <v> </v>
      </c>
      <c r="DG38" s="27" t="str">
        <f>IF(DG37=0," ",IF(DG37&lt;31,TRUNC(5.74352*(28.5-DG37*DG$82)^1.92)," "))</f>
        <v> </v>
      </c>
      <c r="DH38" s="27" t="str">
        <f>IF(DH37&gt;3.7,TRUNC(12.91*(DH37*DH$82-4)^1.1)," ")</f>
        <v> </v>
      </c>
      <c r="DI38" s="27" t="str">
        <f>IF(DI37&gt;69,TRUNC(0.2797*(DI37*DI$82-100)^1.35)," ")</f>
        <v> </v>
      </c>
      <c r="DJ38" s="27" t="str">
        <f>IF(DJ37&gt;4.8,TRUNC(10.14*(DJ37*DJ$82-7)^1.08)," ")</f>
        <v> </v>
      </c>
      <c r="DK38" s="58" t="str">
        <f>IF(DK37=0," ",IF(DK37&lt;604.36,TRUNC(0.03768*(480-DK37*DK$82)^1.85)," "))</f>
        <v> </v>
      </c>
      <c r="DM38" s="29">
        <f>SUM(DB38:DK38)</f>
        <v>0</v>
      </c>
      <c r="DN38" s="77" t="s">
        <v>34</v>
      </c>
      <c r="DO38" s="40" t="str">
        <f>IF(DO37=0," ",IF(DO37&lt;21.7,TRUNC(25.4347*(18-DO37*DO$82)^1.81)," "))</f>
        <v> </v>
      </c>
      <c r="DP38" s="27" t="str">
        <f>IF(DP37&gt;155,TRUNC(0.14354*(DP37*DP$82-220)^1.4)," ")</f>
        <v> </v>
      </c>
      <c r="DQ38" s="27" t="str">
        <f>IF(DQ37&gt;1.2,TRUNC(51.39*(DQ37*DQ$82-1.5)^1.05)," ")</f>
        <v> </v>
      </c>
      <c r="DR38" s="27" t="str">
        <f>IF(DR37&gt;55,TRUNC(0.84565*(DR37*DR$82-75)^1.42)," ")</f>
        <v> </v>
      </c>
      <c r="DS38" s="27" t="str">
        <f>IF(DS37=0," ",IF(DS37&lt;99.46,TRUNC(1.53775*(82-DS37*DS$82)^1.81)," "))</f>
        <v> </v>
      </c>
      <c r="DT38" s="27" t="str">
        <f>IF(DT37=0," ",IF(DT37&lt;31,TRUNC(5.74352*(28.5-DT37*DT$82)^1.92)," "))</f>
        <v> </v>
      </c>
      <c r="DU38" s="27" t="str">
        <f>IF(DU37&gt;3.7,TRUNC(12.91*(DU37*DU$82-4)^1.1)," ")</f>
        <v> </v>
      </c>
      <c r="DV38" s="27" t="str">
        <f>IF(DV37&gt;69,TRUNC(0.2797*(DV37*DV$82-100)^1.35)," ")</f>
        <v> </v>
      </c>
      <c r="DW38" s="27" t="str">
        <f>IF(DW37&gt;4.8,TRUNC(10.14*(DW37*DW$82-7)^1.08)," ")</f>
        <v> </v>
      </c>
      <c r="DX38" s="58" t="str">
        <f>IF(DX37=0," ",IF(DX37&lt;604.36,TRUNC(0.03768*(480-DX37*DX$82)^1.85)," "))</f>
        <v> </v>
      </c>
      <c r="DZ38" s="29">
        <f>SUM(DO38:DX38)</f>
        <v>0</v>
      </c>
      <c r="EA38" s="77" t="s">
        <v>34</v>
      </c>
      <c r="EB38" s="40" t="str">
        <f>IF(EB37=0," ",IF(EB37&lt;21.7,TRUNC(25.4347*(18-EB37*EB$82)^1.81)," "))</f>
        <v> </v>
      </c>
      <c r="EC38" s="27" t="str">
        <f>IF(EC37&gt;155,TRUNC(0.14354*(EC37*EC$82-220)^1.4)," ")</f>
        <v> </v>
      </c>
      <c r="ED38" s="27" t="str">
        <f>IF(ED37&gt;1.2,TRUNC(51.39*(ED37*ED$82-1.5)^1.05)," ")</f>
        <v> </v>
      </c>
      <c r="EE38" s="27" t="str">
        <f>IF(EE37&gt;55,TRUNC(0.84565*(EE37*EE$82-75)^1.42)," ")</f>
        <v> </v>
      </c>
      <c r="EF38" s="27" t="str">
        <f>IF(EF37=0," ",IF(EF37&lt;99.46,TRUNC(1.53775*(82-EF37*EF$82)^1.81)," "))</f>
        <v> </v>
      </c>
      <c r="EG38" s="27" t="str">
        <f>IF(EG37=0," ",IF(EG37&lt;31,TRUNC(5.74352*(28.5-EG37*EG$82)^1.92)," "))</f>
        <v> </v>
      </c>
      <c r="EH38" s="27" t="str">
        <f>IF(EH37&gt;3.7,TRUNC(12.91*(EH37*EH$82-4)^1.1)," ")</f>
        <v> </v>
      </c>
      <c r="EI38" s="27" t="str">
        <f>IF(EI37&gt;69,TRUNC(0.2797*(EI37*EI$82-100)^1.35)," ")</f>
        <v> </v>
      </c>
      <c r="EJ38" s="27" t="str">
        <f>IF(EJ37&gt;4.8,TRUNC(10.14*(EJ37*EJ$82-7)^1.08)," ")</f>
        <v> </v>
      </c>
      <c r="EK38" s="58" t="str">
        <f>IF(EK37=0," ",IF(EK37&lt;604.36,TRUNC(0.03768*(480-EK37*EK$82)^1.85)," "))</f>
        <v> </v>
      </c>
      <c r="EM38" s="29">
        <f>SUM(EB38:EK38)</f>
        <v>0</v>
      </c>
      <c r="EN38" s="77" t="s">
        <v>34</v>
      </c>
      <c r="EO38" s="40" t="str">
        <f>IF(EO37=0," ",IF(EO37&lt;21.7,TRUNC(25.4347*(18-EO37*EO$82)^1.81)," "))</f>
        <v> </v>
      </c>
      <c r="EP38" s="27" t="str">
        <f>IF(EP37&gt;155,TRUNC(0.14354*(EP37*EP$82-220)^1.4)," ")</f>
        <v> </v>
      </c>
      <c r="EQ38" s="27" t="str">
        <f>IF(EQ37&gt;1.2,TRUNC(51.39*(EQ37*EQ$82-1.5)^1.05)," ")</f>
        <v> </v>
      </c>
      <c r="ER38" s="27" t="str">
        <f>IF(ER37&gt;55,TRUNC(0.84565*(ER37*ER$82-75)^1.42)," ")</f>
        <v> </v>
      </c>
      <c r="ES38" s="27" t="str">
        <f>IF(ES37=0," ",IF(ES37&lt;99.46,TRUNC(1.53775*(82-ES37*ES$82)^1.81)," "))</f>
        <v> </v>
      </c>
      <c r="ET38" s="27" t="str">
        <f>IF(ET37=0," ",IF(ET37&lt;31,TRUNC(5.74352*(28.5-ET37*ET$82)^1.92)," "))</f>
        <v> </v>
      </c>
      <c r="EU38" s="27" t="str">
        <f>IF(EU37&gt;3.7,TRUNC(12.91*(EU37*EU$82-4)^1.1)," ")</f>
        <v> </v>
      </c>
      <c r="EV38" s="27" t="str">
        <f>IF(EV37&gt;69,TRUNC(0.2797*(EV37*EV$82-100)^1.35)," ")</f>
        <v> </v>
      </c>
      <c r="EW38" s="27" t="str">
        <f>IF(EW37&gt;4.8,TRUNC(10.14*(EW37*EW$82-7)^1.08)," ")</f>
        <v> </v>
      </c>
      <c r="EX38" s="58" t="str">
        <f>IF(EX37=0," ",IF(EX37&lt;604.36,TRUNC(0.03768*(480-EX37*EX$82)^1.85)," "))</f>
        <v> </v>
      </c>
      <c r="EZ38" s="29">
        <f>SUM(EO38:EX38)</f>
        <v>0</v>
      </c>
      <c r="FA38" s="77" t="s">
        <v>34</v>
      </c>
      <c r="FB38" s="40" t="str">
        <f>IF(FB37=0," ",IF(FB37&lt;21.7,TRUNC(25.4347*(18-FB37*FB$82)^1.81)," "))</f>
        <v> </v>
      </c>
      <c r="FC38" s="27" t="str">
        <f>IF(FC37&gt;155,TRUNC(0.14354*(FC37*FC$82-220)^1.4)," ")</f>
        <v> </v>
      </c>
      <c r="FD38" s="27" t="str">
        <f>IF(FD37&gt;1.2,TRUNC(51.39*(FD37*FD$82-1.5)^1.05)," ")</f>
        <v> </v>
      </c>
      <c r="FE38" s="27" t="str">
        <f>IF(FE37&gt;55,TRUNC(0.84565*(FE37*FE$82-75)^1.42)," ")</f>
        <v> </v>
      </c>
      <c r="FF38" s="27" t="str">
        <f>IF(FF37=0," ",IF(FF37&lt;99.46,TRUNC(1.53775*(82-FF37*FF$82)^1.81)," "))</f>
        <v> </v>
      </c>
      <c r="FG38" s="27" t="str">
        <f>IF(FG37=0," ",IF(FG37&lt;31,TRUNC(5.74352*(28.5-FG37*FG$82)^1.92)," "))</f>
        <v> </v>
      </c>
      <c r="FH38" s="27" t="str">
        <f>IF(FH37&gt;3.7,TRUNC(12.91*(FH37*FH$82-4)^1.1)," ")</f>
        <v> </v>
      </c>
      <c r="FI38" s="27" t="str">
        <f>IF(FI37&gt;69,TRUNC(0.2797*(FI37*FI$82-100)^1.35)," ")</f>
        <v> </v>
      </c>
      <c r="FJ38" s="27" t="str">
        <f>IF(FJ37&gt;4.8,TRUNC(10.14*(FJ37*FJ$82-7)^1.08)," ")</f>
        <v> </v>
      </c>
      <c r="FK38" s="58" t="str">
        <f>IF(FK37=0," ",IF(FK37&lt;604.36,TRUNC(0.03768*(480-FK37*FK$82)^1.85)," "))</f>
        <v> </v>
      </c>
      <c r="FM38" s="29">
        <f>SUM(FB38:FK38)</f>
        <v>0</v>
      </c>
      <c r="FN38" s="77" t="s">
        <v>34</v>
      </c>
      <c r="FO38" s="40" t="str">
        <f>IF(FO37=0," ",IF(FO37&lt;21.7,TRUNC(25.4347*(18-FO37*FO$82)^1.81)," "))</f>
        <v> </v>
      </c>
      <c r="FP38" s="27" t="str">
        <f>IF(FP37&gt;155,TRUNC(0.14354*(FP37*FP$82-220)^1.4)," ")</f>
        <v> </v>
      </c>
      <c r="FQ38" s="27" t="str">
        <f>IF(FQ37&gt;1.2,TRUNC(51.39*(FQ37*FQ$82-1.5)^1.05)," ")</f>
        <v> </v>
      </c>
      <c r="FR38" s="27" t="str">
        <f>IF(FR37&gt;55,TRUNC(0.84565*(FR37*FR$82-75)^1.42)," ")</f>
        <v> </v>
      </c>
      <c r="FS38" s="27" t="str">
        <f>IF(FS37=0," ",IF(FS37&lt;99.46,TRUNC(1.53775*(82-FS37*FS$82)^1.81)," "))</f>
        <v> </v>
      </c>
      <c r="FT38" s="27" t="str">
        <f>IF(FT37=0," ",IF(FT37&lt;31,TRUNC(5.74352*(28.5-FT37*FT$82)^1.92)," "))</f>
        <v> </v>
      </c>
      <c r="FU38" s="27" t="str">
        <f>IF(FU37&gt;3.7,TRUNC(12.91*(FU37*FU$82-4)^1.1)," ")</f>
        <v> </v>
      </c>
      <c r="FV38" s="27" t="str">
        <f>IF(FV37&gt;69,TRUNC(0.2797*(FV37*FV$82-100)^1.35)," ")</f>
        <v> </v>
      </c>
      <c r="FW38" s="27" t="str">
        <f>IF(FW37&gt;4.8,TRUNC(10.14*(FW37*FW$82-7)^1.08)," ")</f>
        <v> </v>
      </c>
      <c r="FX38" s="58" t="str">
        <f>IF(FX37=0," ",IF(FX37&lt;604.36,TRUNC(0.03768*(480-FX37*FX$82)^1.85)," "))</f>
        <v> </v>
      </c>
      <c r="FZ38" s="29">
        <f>SUM(FO38:FX38)</f>
        <v>0</v>
      </c>
      <c r="GA38" s="77" t="s">
        <v>34</v>
      </c>
      <c r="GB38" s="40" t="str">
        <f>IF(GB37=0," ",IF(GB37&lt;21.7,TRUNC(25.4347*(18-GB37*GB$82)^1.81)," "))</f>
        <v> </v>
      </c>
      <c r="GC38" s="27" t="str">
        <f>IF(GC37&gt;155,TRUNC(0.14354*(GC37*GC$82-220)^1.4)," ")</f>
        <v> </v>
      </c>
      <c r="GD38" s="27" t="str">
        <f>IF(GD37&gt;1.2,TRUNC(51.39*(GD37*GD$82-1.5)^1.05)," ")</f>
        <v> </v>
      </c>
      <c r="GE38" s="27" t="str">
        <f>IF(GE37&gt;55,TRUNC(0.84565*(GE37*GE$82-75)^1.42)," ")</f>
        <v> </v>
      </c>
      <c r="GF38" s="27" t="str">
        <f>IF(GF37=0," ",IF(GF37&lt;99.46,TRUNC(1.53775*(82-GF37*GF$82)^1.81)," "))</f>
        <v> </v>
      </c>
      <c r="GG38" s="27" t="str">
        <f>IF(GG37=0," ",IF(GG37&lt;31,TRUNC(5.74352*(28.5-GG37*GG$82)^1.92)," "))</f>
        <v> </v>
      </c>
      <c r="GH38" s="27" t="str">
        <f>IF(GH37&gt;3.7,TRUNC(12.91*(GH37*GH$82-4)^1.1)," ")</f>
        <v> </v>
      </c>
      <c r="GI38" s="27" t="str">
        <f>IF(GI37&gt;69,TRUNC(0.2797*(GI37*GI$82-100)^1.35)," ")</f>
        <v> </v>
      </c>
      <c r="GJ38" s="27" t="str">
        <f>IF(GJ37&gt;4.8,TRUNC(10.14*(GJ37*GJ$82-7)^1.08)," ")</f>
        <v> </v>
      </c>
      <c r="GK38" s="58" t="str">
        <f>IF(GK37=0," ",IF(GK37&lt;604.36,TRUNC(0.03768*(480-GK37*GK$82)^1.85)," "))</f>
        <v> </v>
      </c>
      <c r="GM38" s="29">
        <f>SUM(GB38:GK38)</f>
        <v>0</v>
      </c>
      <c r="GN38" s="77" t="s">
        <v>34</v>
      </c>
      <c r="GO38" s="40" t="str">
        <f>IF(GO37=0," ",IF(GO37&lt;21.7,TRUNC(25.4347*(18-GO37*GO$82)^1.81)," "))</f>
        <v> </v>
      </c>
      <c r="GP38" s="27" t="str">
        <f>IF(GP37&gt;155,TRUNC(0.14354*(GP37*GP$82-220)^1.4)," ")</f>
        <v> </v>
      </c>
      <c r="GQ38" s="27" t="str">
        <f>IF(GQ37&gt;1.2,TRUNC(51.39*(GQ37*GQ$82-1.5)^1.05)," ")</f>
        <v> </v>
      </c>
      <c r="GR38" s="27" t="str">
        <f>IF(GR37&gt;55,TRUNC(0.84565*(GR37*GR$82-75)^1.42)," ")</f>
        <v> </v>
      </c>
      <c r="GS38" s="27" t="str">
        <f>IF(GS37=0," ",IF(GS37&lt;99.46,TRUNC(1.53775*(82-GS37*GS$82)^1.81)," "))</f>
        <v> </v>
      </c>
      <c r="GT38" s="27" t="str">
        <f>IF(GT37=0," ",IF(GT37&lt;31,TRUNC(5.74352*(28.5-GT37*GT$82)^1.92)," "))</f>
        <v> </v>
      </c>
      <c r="GU38" s="27" t="str">
        <f>IF(GU37&gt;3.7,TRUNC(12.91*(GU37*GU$82-4)^1.1)," ")</f>
        <v> </v>
      </c>
      <c r="GV38" s="27" t="str">
        <f>IF(GV37&gt;69,TRUNC(0.2797*(GV37*GV$82-100)^1.35)," ")</f>
        <v> </v>
      </c>
      <c r="GW38" s="27" t="str">
        <f>IF(GW37&gt;4.8,TRUNC(10.14*(GW37*GW$82-7)^1.08)," ")</f>
        <v> </v>
      </c>
      <c r="GX38" s="58" t="str">
        <f>IF(GX37=0," ",IF(GX37&lt;604.36,TRUNC(0.03768*(480-GX37*GX$82)^1.85)," "))</f>
        <v> </v>
      </c>
      <c r="GZ38" s="29">
        <f>SUM(GO38:GX38)</f>
        <v>0</v>
      </c>
      <c r="HA38" s="77" t="s">
        <v>34</v>
      </c>
      <c r="HB38" s="40" t="str">
        <f>IF(HB37=0," ",IF(HB37&lt;21.7,TRUNC(25.4347*(18-HB37*HB$82)^1.81)," "))</f>
        <v> </v>
      </c>
      <c r="HC38" s="27" t="str">
        <f>IF(HC37&gt;155,TRUNC(0.14354*(HC37*HC$82-220)^1.4)," ")</f>
        <v> </v>
      </c>
      <c r="HD38" s="27" t="str">
        <f>IF(HD37&gt;1.2,TRUNC(51.39*(HD37*HD$82-1.5)^1.05)," ")</f>
        <v> </v>
      </c>
      <c r="HE38" s="27" t="str">
        <f>IF(HE37&gt;55,TRUNC(0.84565*(HE37*HE$82-75)^1.42)," ")</f>
        <v> </v>
      </c>
      <c r="HF38" s="27" t="str">
        <f>IF(HF37=0," ",IF(HF37&lt;99.46,TRUNC(1.53775*(82-HF37*HF$82)^1.81)," "))</f>
        <v> </v>
      </c>
      <c r="HG38" s="27" t="str">
        <f>IF(HG37=0," ",IF(HG37&lt;31,TRUNC(5.74352*(28.5-HG37*HG$82)^1.92)," "))</f>
        <v> </v>
      </c>
      <c r="HH38" s="27" t="str">
        <f>IF(HH37&gt;3.7,TRUNC(12.91*(HH37*HH$82-4)^1.1)," ")</f>
        <v> </v>
      </c>
      <c r="HI38" s="27" t="str">
        <f>IF(HI37&gt;69,TRUNC(0.2797*(HI37*HI$82-100)^1.35)," ")</f>
        <v> </v>
      </c>
      <c r="HJ38" s="27" t="str">
        <f>IF(HJ37&gt;4.8,TRUNC(10.14*(HJ37*HJ$82-7)^1.08)," ")</f>
        <v> </v>
      </c>
      <c r="HK38" s="58" t="str">
        <f>IF(HK37=0," ",IF(HK37&lt;604.36,TRUNC(0.03768*(480-HK37*HK$82)^1.85)," "))</f>
        <v> </v>
      </c>
      <c r="HM38" s="29">
        <f>SUM(HB38:HK38)</f>
        <v>0</v>
      </c>
      <c r="HN38" s="77" t="s">
        <v>34</v>
      </c>
      <c r="HO38" s="40" t="str">
        <f>IF(HO37=0," ",IF(HO37&lt;21.7,TRUNC(25.4347*(18-HO37*HO$82)^1.81)," "))</f>
        <v> </v>
      </c>
      <c r="HP38" s="27" t="str">
        <f>IF(HP37&gt;155,TRUNC(0.14354*(HP37*HP$82-220)^1.4)," ")</f>
        <v> </v>
      </c>
      <c r="HQ38" s="27" t="str">
        <f>IF(HQ37&gt;1.2,TRUNC(51.39*(HQ37*HQ$82-1.5)^1.05)," ")</f>
        <v> </v>
      </c>
      <c r="HR38" s="27" t="str">
        <f>IF(HR37&gt;55,TRUNC(0.84565*(HR37*HR$82-75)^1.42)," ")</f>
        <v> </v>
      </c>
      <c r="HS38" s="27" t="str">
        <f>IF(HS37=0," ",IF(HS37&lt;99.46,TRUNC(1.53775*(82-HS37*HS$82)^1.81)," "))</f>
        <v> </v>
      </c>
      <c r="HT38" s="27" t="str">
        <f>IF(HT37=0," ",IF(HT37&lt;31,TRUNC(5.74352*(28.5-HT37*HT$82)^1.92)," "))</f>
        <v> </v>
      </c>
      <c r="HU38" s="27" t="str">
        <f>IF(HU37&gt;3.7,TRUNC(12.91*(HU37*HU$82-4)^1.1)," ")</f>
        <v> </v>
      </c>
      <c r="HV38" s="27" t="str">
        <f>IF(HV37&gt;69,TRUNC(0.2797*(HV37*HV$82-100)^1.35)," ")</f>
        <v> </v>
      </c>
      <c r="HW38" s="27" t="str">
        <f>IF(HW37&gt;4.8,TRUNC(10.14*(HW37*HW$82-7)^1.08)," ")</f>
        <v> </v>
      </c>
      <c r="HX38" s="58" t="str">
        <f>IF(HX37=0," ",IF(HX37&lt;604.36,TRUNC(0.03768*(480-HX37*HX$82)^1.85)," "))</f>
        <v> </v>
      </c>
      <c r="HZ38" s="29">
        <f>SUM(HO38:HX38)</f>
        <v>0</v>
      </c>
      <c r="IA38" s="77" t="s">
        <v>34</v>
      </c>
      <c r="IB38" s="40" t="str">
        <f>IF(IB37=0," ",IF(IB37&lt;21.7,TRUNC(25.4347*(18-IB37*IB$82)^1.81)," "))</f>
        <v> </v>
      </c>
      <c r="IC38" s="27" t="str">
        <f>IF(IC37&gt;155,TRUNC(0.14354*(IC37*IC$82-220)^1.4)," ")</f>
        <v> </v>
      </c>
      <c r="ID38" s="27" t="str">
        <f>IF(ID37&gt;1.2,TRUNC(51.39*(ID37*ID$82-1.5)^1.05)," ")</f>
        <v> </v>
      </c>
      <c r="IE38" s="27" t="str">
        <f>IF(IE37&gt;55,TRUNC(0.84565*(IE37*IE$82-75)^1.42)," ")</f>
        <v> </v>
      </c>
      <c r="IF38" s="27" t="str">
        <f>IF(IF37=0," ",IF(IF37&lt;99.46,TRUNC(1.53775*(82-IF37*IF$82)^1.81)," "))</f>
        <v> </v>
      </c>
      <c r="IG38" s="27" t="str">
        <f>IF(IG37=0," ",IF(IG37&lt;31,TRUNC(5.74352*(28.5-IG37*IG$82)^1.92)," "))</f>
        <v> </v>
      </c>
      <c r="IH38" s="27" t="str">
        <f>IF(IH37&gt;3.7,TRUNC(12.91*(IH37*IH$82-4)^1.1)," ")</f>
        <v> </v>
      </c>
      <c r="II38" s="27" t="str">
        <f>IF(II37&gt;69,TRUNC(0.2797*(II37*II$82-100)^1.35)," ")</f>
        <v> </v>
      </c>
      <c r="IJ38" s="27" t="str">
        <f>IF(IJ37&gt;4.8,TRUNC(10.14*(IJ37*IJ$82-7)^1.08)," ")</f>
        <v> </v>
      </c>
      <c r="IK38" s="58" t="str">
        <f>IF(IK37=0," ",IF(IK37&lt;604.36,TRUNC(0.03768*(480-IK37*IK$82)^1.85)," "))</f>
        <v> </v>
      </c>
      <c r="IM38" s="29">
        <f>SUM(IB38:IK38)</f>
        <v>0</v>
      </c>
      <c r="IN38" s="77" t="s">
        <v>34</v>
      </c>
      <c r="IO38" s="40" t="str">
        <f>IF(IO37=0," ",IF(IO37&lt;21.7,TRUNC(25.4347*(18-IO37*IO$82)^1.81)," "))</f>
        <v> </v>
      </c>
      <c r="IP38" s="27" t="str">
        <f>IF(IP37&gt;155,TRUNC(0.14354*(IP37*IP$82-220)^1.4)," ")</f>
        <v> </v>
      </c>
      <c r="IQ38" s="27" t="str">
        <f>IF(IQ37&gt;1.2,TRUNC(51.39*(IQ37*IQ$82-1.5)^1.05)," ")</f>
        <v> </v>
      </c>
      <c r="IR38" s="27" t="str">
        <f>IF(IR37&gt;55,TRUNC(0.84565*(IR37*IR$82-75)^1.42)," ")</f>
        <v> </v>
      </c>
      <c r="IS38" s="27" t="str">
        <f>IF(IS37=0," ",IF(IS37&lt;99.46,TRUNC(1.53775*(82-IS37*IS$82)^1.81)," "))</f>
        <v> </v>
      </c>
      <c r="IT38" s="27" t="str">
        <f>IF(IT37=0," ",IF(IT37&lt;31,TRUNC(5.74352*(28.5-IT37*IT$82)^1.92)," "))</f>
        <v> </v>
      </c>
      <c r="IU38" s="27" t="str">
        <f>IF(IU37&gt;3.7,TRUNC(12.91*(IU37*IU$82-4)^1.1)," ")</f>
        <v> </v>
      </c>
      <c r="IV38" s="27" t="str">
        <f>IF(IV37&gt;69,TRUNC(0.2797*(IV37*IV$82-100)^1.35)," ")</f>
        <v> </v>
      </c>
    </row>
    <row r="39" spans="1:18" s="2" customFormat="1" ht="23.25" customHeight="1">
      <c r="A39" s="263" t="s">
        <v>144</v>
      </c>
      <c r="B39" s="264">
        <v>14.77</v>
      </c>
      <c r="C39" s="265">
        <v>420</v>
      </c>
      <c r="D39" s="266">
        <v>8.68</v>
      </c>
      <c r="E39" s="265">
        <v>125</v>
      </c>
      <c r="F39" s="266">
        <v>76.3</v>
      </c>
      <c r="G39" s="266">
        <v>21.25</v>
      </c>
      <c r="H39" s="266">
        <v>28.44</v>
      </c>
      <c r="I39" s="265">
        <v>230</v>
      </c>
      <c r="J39" s="266">
        <v>28.54</v>
      </c>
      <c r="K39" s="266">
        <v>395</v>
      </c>
      <c r="L39" s="267"/>
      <c r="M39" s="268"/>
      <c r="N39" s="8" t="s">
        <v>148</v>
      </c>
      <c r="O39" s="3"/>
      <c r="P39" s="197">
        <f>100*P40/M40</f>
        <v>38.85662431941924</v>
      </c>
      <c r="Q39" s="203">
        <f>100*Q40/M40</f>
        <v>31.560798548094375</v>
      </c>
      <c r="R39" s="204">
        <f>100*R40/M40</f>
        <v>29.58257713248639</v>
      </c>
    </row>
    <row r="40" spans="1:256" s="78" customFormat="1" ht="23.25" customHeight="1">
      <c r="A40" s="269" t="s">
        <v>120</v>
      </c>
      <c r="B40" s="88">
        <f>IF(B39=0," ",IF(B39&lt;21.7,TRUNC(25.4347*(18-B39*B$83)^1.81)," "))</f>
        <v>655</v>
      </c>
      <c r="C40" s="89">
        <f>IF(C39&gt;155,TRUNC(0.14354*(C39*C$83-220)^1.4)," ")</f>
        <v>670</v>
      </c>
      <c r="D40" s="89">
        <f>IF(D39&gt;1.2,TRUNC(51.39*(D39*D$83-1.5)^1.05)," ")</f>
        <v>595</v>
      </c>
      <c r="E40" s="89">
        <f>IF(E39&gt;55,TRUNC(0.84565*(E39*E$83-75)^1.42)," ")</f>
        <v>571</v>
      </c>
      <c r="F40" s="89">
        <f>IF(F39=0," ",IF(F39&lt;105,TRUNC(1.53775*(82-F39*F$83)^1.81)," "))</f>
        <v>420</v>
      </c>
      <c r="G40" s="89">
        <f>IF(G39=0," ",IF(G39&lt;31,TRUNC(5.74352*(28.5-G39*G$83)^1.92)," "))</f>
        <v>491</v>
      </c>
      <c r="H40" s="89">
        <f>IF(H39&gt;3.7,TRUNC(12.91*(H39*H$83-4)^1.1)," ")</f>
        <v>526</v>
      </c>
      <c r="I40" s="89">
        <f>IF(I39&gt;69,TRUNC(0.2797*(I39*I$83-100)^1.35)," ")</f>
        <v>498</v>
      </c>
      <c r="J40" s="89">
        <f>IF(J39&gt;4.8,TRUNC(10.14*(J39*J$83-7)^1.08)," ")</f>
        <v>509</v>
      </c>
      <c r="K40" s="89">
        <f>IF(K39=0," ",IF(K39&lt;604.36,TRUNC(0.03768*(480-K39*K$83)^1.85)," "))</f>
        <v>575</v>
      </c>
      <c r="L40" s="270"/>
      <c r="M40" s="271">
        <f>SUM(B40:K40)</f>
        <v>5510</v>
      </c>
      <c r="N40" s="30"/>
      <c r="O40" s="31">
        <f>MAX(B40:K40)</f>
        <v>670</v>
      </c>
      <c r="P40" s="198">
        <f>SUM(B40,F40,G40,K40)</f>
        <v>2141</v>
      </c>
      <c r="Q40" s="205">
        <f>SUM(C40,E40,I40)</f>
        <v>1739</v>
      </c>
      <c r="R40" s="206">
        <f>SUM(D40,H40,J40)</f>
        <v>1630</v>
      </c>
      <c r="S40" s="27" t="str">
        <f>IF(S39=0," ",IF(S39&lt;99.46,TRUNC(1.53775*(82-S39*S$82)^1.81)," "))</f>
        <v> </v>
      </c>
      <c r="T40" s="27" t="str">
        <f>IF(T39=0," ",IF(T39&lt;31,TRUNC(5.74352*(28.5-T39*T$82)^1.92)," "))</f>
        <v> </v>
      </c>
      <c r="U40" s="27" t="str">
        <f>IF(U39&gt;3.7,TRUNC(12.91*(U39*U$82-4)^1.1)," ")</f>
        <v> </v>
      </c>
      <c r="V40" s="27" t="str">
        <f>IF(V39&gt;69,TRUNC(0.2797*(V39*V$82-100)^1.35)," ")</f>
        <v> </v>
      </c>
      <c r="W40" s="27" t="str">
        <f>IF(W39&gt;4.8,TRUNC(10.14*(W39*W$82-7)^1.08)," ")</f>
        <v> </v>
      </c>
      <c r="X40" s="58" t="str">
        <f>IF(X39=0," ",IF(X39&lt;604.36,TRUNC(0.03768*(480-X39*X$82)^1.85)," "))</f>
        <v> </v>
      </c>
      <c r="Z40" s="29">
        <f>SUM(O40:X40)</f>
        <v>6180</v>
      </c>
      <c r="AA40" s="77" t="s">
        <v>34</v>
      </c>
      <c r="AB40" s="40" t="str">
        <f>IF(AB39=0," ",IF(AB39&lt;21.7,TRUNC(25.4347*(18-AB39*AB$82)^1.81)," "))</f>
        <v> </v>
      </c>
      <c r="AC40" s="27" t="str">
        <f>IF(AC39&gt;155,TRUNC(0.14354*(AC39*AC$82-220)^1.4)," ")</f>
        <v> </v>
      </c>
      <c r="AD40" s="27" t="str">
        <f>IF(AD39&gt;1.2,TRUNC(51.39*(AD39*AD$82-1.5)^1.05)," ")</f>
        <v> </v>
      </c>
      <c r="AE40" s="27" t="str">
        <f>IF(AE39&gt;55,TRUNC(0.84565*(AE39*AE$82-75)^1.42)," ")</f>
        <v> </v>
      </c>
      <c r="AF40" s="27" t="str">
        <f>IF(AF39=0," ",IF(AF39&lt;99.46,TRUNC(1.53775*(82-AF39*AF$82)^1.81)," "))</f>
        <v> </v>
      </c>
      <c r="AG40" s="27" t="str">
        <f>IF(AG39=0," ",IF(AG39&lt;31,TRUNC(5.74352*(28.5-AG39*AG$82)^1.92)," "))</f>
        <v> </v>
      </c>
      <c r="AH40" s="27" t="str">
        <f>IF(AH39&gt;3.7,TRUNC(12.91*(AH39*AH$82-4)^1.1)," ")</f>
        <v> </v>
      </c>
      <c r="AI40" s="27" t="str">
        <f>IF(AI39&gt;69,TRUNC(0.2797*(AI39*AI$82-100)^1.35)," ")</f>
        <v> </v>
      </c>
      <c r="AJ40" s="27" t="str">
        <f>IF(AJ39&gt;4.8,TRUNC(10.14*(AJ39*AJ$82-7)^1.08)," ")</f>
        <v> </v>
      </c>
      <c r="AK40" s="58" t="str">
        <f>IF(AK39=0," ",IF(AK39&lt;604.36,TRUNC(0.03768*(480-AK39*AK$82)^1.85)," "))</f>
        <v> </v>
      </c>
      <c r="AM40" s="29">
        <f>SUM(AB40:AK40)</f>
        <v>0</v>
      </c>
      <c r="AN40" s="77" t="s">
        <v>34</v>
      </c>
      <c r="AO40" s="40" t="str">
        <f>IF(AO39=0," ",IF(AO39&lt;21.7,TRUNC(25.4347*(18-AO39*AO$82)^1.81)," "))</f>
        <v> </v>
      </c>
      <c r="AP40" s="27" t="str">
        <f>IF(AP39&gt;155,TRUNC(0.14354*(AP39*AP$82-220)^1.4)," ")</f>
        <v> </v>
      </c>
      <c r="AQ40" s="27" t="str">
        <f>IF(AQ39&gt;1.2,TRUNC(51.39*(AQ39*AQ$82-1.5)^1.05)," ")</f>
        <v> </v>
      </c>
      <c r="AR40" s="27" t="str">
        <f>IF(AR39&gt;55,TRUNC(0.84565*(AR39*AR$82-75)^1.42)," ")</f>
        <v> </v>
      </c>
      <c r="AS40" s="27" t="str">
        <f>IF(AS39=0," ",IF(AS39&lt;99.46,TRUNC(1.53775*(82-AS39*AS$82)^1.81)," "))</f>
        <v> </v>
      </c>
      <c r="AT40" s="27" t="str">
        <f>IF(AT39=0," ",IF(AT39&lt;31,TRUNC(5.74352*(28.5-AT39*AT$82)^1.92)," "))</f>
        <v> </v>
      </c>
      <c r="AU40" s="27" t="str">
        <f>IF(AU39&gt;3.7,TRUNC(12.91*(AU39*AU$82-4)^1.1)," ")</f>
        <v> </v>
      </c>
      <c r="AV40" s="27" t="str">
        <f>IF(AV39&gt;69,TRUNC(0.2797*(AV39*AV$82-100)^1.35)," ")</f>
        <v> </v>
      </c>
      <c r="AW40" s="27" t="str">
        <f>IF(AW39&gt;4.8,TRUNC(10.14*(AW39*AW$82-7)^1.08)," ")</f>
        <v> </v>
      </c>
      <c r="AX40" s="58" t="str">
        <f>IF(AX39=0," ",IF(AX39&lt;604.36,TRUNC(0.03768*(480-AX39*AX$82)^1.85)," "))</f>
        <v> </v>
      </c>
      <c r="AZ40" s="29">
        <f>SUM(AO40:AX40)</f>
        <v>0</v>
      </c>
      <c r="BA40" s="77" t="s">
        <v>34</v>
      </c>
      <c r="BB40" s="40" t="str">
        <f>IF(BB39=0," ",IF(BB39&lt;21.7,TRUNC(25.4347*(18-BB39*BB$82)^1.81)," "))</f>
        <v> </v>
      </c>
      <c r="BC40" s="27" t="str">
        <f>IF(BC39&gt;155,TRUNC(0.14354*(BC39*BC$82-220)^1.4)," ")</f>
        <v> </v>
      </c>
      <c r="BD40" s="27" t="str">
        <f>IF(BD39&gt;1.2,TRUNC(51.39*(BD39*BD$82-1.5)^1.05)," ")</f>
        <v> </v>
      </c>
      <c r="BE40" s="27" t="str">
        <f>IF(BE39&gt;55,TRUNC(0.84565*(BE39*BE$82-75)^1.42)," ")</f>
        <v> </v>
      </c>
      <c r="BF40" s="27" t="str">
        <f>IF(BF39=0," ",IF(BF39&lt;99.46,TRUNC(1.53775*(82-BF39*BF$82)^1.81)," "))</f>
        <v> </v>
      </c>
      <c r="BG40" s="27" t="str">
        <f>IF(BG39=0," ",IF(BG39&lt;31,TRUNC(5.74352*(28.5-BG39*BG$82)^1.92)," "))</f>
        <v> </v>
      </c>
      <c r="BH40" s="27" t="str">
        <f>IF(BH39&gt;3.7,TRUNC(12.91*(BH39*BH$82-4)^1.1)," ")</f>
        <v> </v>
      </c>
      <c r="BI40" s="27" t="str">
        <f>IF(BI39&gt;69,TRUNC(0.2797*(BI39*BI$82-100)^1.35)," ")</f>
        <v> </v>
      </c>
      <c r="BJ40" s="27" t="str">
        <f>IF(BJ39&gt;4.8,TRUNC(10.14*(BJ39*BJ$82-7)^1.08)," ")</f>
        <v> </v>
      </c>
      <c r="BK40" s="58" t="str">
        <f>IF(BK39=0," ",IF(BK39&lt;604.36,TRUNC(0.03768*(480-BK39*BK$82)^1.85)," "))</f>
        <v> </v>
      </c>
      <c r="BM40" s="29">
        <f>SUM(BB40:BK40)</f>
        <v>0</v>
      </c>
      <c r="BN40" s="77" t="s">
        <v>34</v>
      </c>
      <c r="BO40" s="40" t="str">
        <f>IF(BO39=0," ",IF(BO39&lt;21.7,TRUNC(25.4347*(18-BO39*BO$82)^1.81)," "))</f>
        <v> </v>
      </c>
      <c r="BP40" s="27" t="str">
        <f>IF(BP39&gt;155,TRUNC(0.14354*(BP39*BP$82-220)^1.4)," ")</f>
        <v> </v>
      </c>
      <c r="BQ40" s="27" t="str">
        <f>IF(BQ39&gt;1.2,TRUNC(51.39*(BQ39*BQ$82-1.5)^1.05)," ")</f>
        <v> </v>
      </c>
      <c r="BR40" s="27" t="str">
        <f>IF(BR39&gt;55,TRUNC(0.84565*(BR39*BR$82-75)^1.42)," ")</f>
        <v> </v>
      </c>
      <c r="BS40" s="27" t="str">
        <f>IF(BS39=0," ",IF(BS39&lt;99.46,TRUNC(1.53775*(82-BS39*BS$82)^1.81)," "))</f>
        <v> </v>
      </c>
      <c r="BT40" s="27" t="str">
        <f>IF(BT39=0," ",IF(BT39&lt;31,TRUNC(5.74352*(28.5-BT39*BT$82)^1.92)," "))</f>
        <v> </v>
      </c>
      <c r="BU40" s="27" t="str">
        <f>IF(BU39&gt;3.7,TRUNC(12.91*(BU39*BU$82-4)^1.1)," ")</f>
        <v> </v>
      </c>
      <c r="BV40" s="27" t="str">
        <f>IF(BV39&gt;69,TRUNC(0.2797*(BV39*BV$82-100)^1.35)," ")</f>
        <v> </v>
      </c>
      <c r="BW40" s="27" t="str">
        <f>IF(BW39&gt;4.8,TRUNC(10.14*(BW39*BW$82-7)^1.08)," ")</f>
        <v> </v>
      </c>
      <c r="BX40" s="58" t="str">
        <f>IF(BX39=0," ",IF(BX39&lt;604.36,TRUNC(0.03768*(480-BX39*BX$82)^1.85)," "))</f>
        <v> </v>
      </c>
      <c r="BZ40" s="29">
        <f>SUM(BO40:BX40)</f>
        <v>0</v>
      </c>
      <c r="CA40" s="77" t="s">
        <v>34</v>
      </c>
      <c r="CB40" s="40" t="str">
        <f>IF(CB39=0," ",IF(CB39&lt;21.7,TRUNC(25.4347*(18-CB39*CB$82)^1.81)," "))</f>
        <v> </v>
      </c>
      <c r="CC40" s="27" t="str">
        <f>IF(CC39&gt;155,TRUNC(0.14354*(CC39*CC$82-220)^1.4)," ")</f>
        <v> </v>
      </c>
      <c r="CD40" s="27" t="str">
        <f>IF(CD39&gt;1.2,TRUNC(51.39*(CD39*CD$82-1.5)^1.05)," ")</f>
        <v> </v>
      </c>
      <c r="CE40" s="27" t="str">
        <f>IF(CE39&gt;55,TRUNC(0.84565*(CE39*CE$82-75)^1.42)," ")</f>
        <v> </v>
      </c>
      <c r="CF40" s="27" t="str">
        <f>IF(CF39=0," ",IF(CF39&lt;99.46,TRUNC(1.53775*(82-CF39*CF$82)^1.81)," "))</f>
        <v> </v>
      </c>
      <c r="CG40" s="27" t="str">
        <f>IF(CG39=0," ",IF(CG39&lt;31,TRUNC(5.74352*(28.5-CG39*CG$82)^1.92)," "))</f>
        <v> </v>
      </c>
      <c r="CH40" s="27" t="str">
        <f>IF(CH39&gt;3.7,TRUNC(12.91*(CH39*CH$82-4)^1.1)," ")</f>
        <v> </v>
      </c>
      <c r="CI40" s="27" t="str">
        <f>IF(CI39&gt;69,TRUNC(0.2797*(CI39*CI$82-100)^1.35)," ")</f>
        <v> </v>
      </c>
      <c r="CJ40" s="27" t="str">
        <f>IF(CJ39&gt;4.8,TRUNC(10.14*(CJ39*CJ$82-7)^1.08)," ")</f>
        <v> </v>
      </c>
      <c r="CK40" s="58" t="str">
        <f>IF(CK39=0," ",IF(CK39&lt;604.36,TRUNC(0.03768*(480-CK39*CK$82)^1.85)," "))</f>
        <v> </v>
      </c>
      <c r="CM40" s="29">
        <f>SUM(CB40:CK40)</f>
        <v>0</v>
      </c>
      <c r="CN40" s="77" t="s">
        <v>34</v>
      </c>
      <c r="CO40" s="40" t="str">
        <f>IF(CO39=0," ",IF(CO39&lt;21.7,TRUNC(25.4347*(18-CO39*CO$82)^1.81)," "))</f>
        <v> </v>
      </c>
      <c r="CP40" s="27" t="str">
        <f>IF(CP39&gt;155,TRUNC(0.14354*(CP39*CP$82-220)^1.4)," ")</f>
        <v> </v>
      </c>
      <c r="CQ40" s="27" t="str">
        <f>IF(CQ39&gt;1.2,TRUNC(51.39*(CQ39*CQ$82-1.5)^1.05)," ")</f>
        <v> </v>
      </c>
      <c r="CR40" s="27" t="str">
        <f>IF(CR39&gt;55,TRUNC(0.84565*(CR39*CR$82-75)^1.42)," ")</f>
        <v> </v>
      </c>
      <c r="CS40" s="27" t="str">
        <f>IF(CS39=0," ",IF(CS39&lt;99.46,TRUNC(1.53775*(82-CS39*CS$82)^1.81)," "))</f>
        <v> </v>
      </c>
      <c r="CT40" s="27" t="str">
        <f>IF(CT39=0," ",IF(CT39&lt;31,TRUNC(5.74352*(28.5-CT39*CT$82)^1.92)," "))</f>
        <v> </v>
      </c>
      <c r="CU40" s="27" t="str">
        <f>IF(CU39&gt;3.7,TRUNC(12.91*(CU39*CU$82-4)^1.1)," ")</f>
        <v> </v>
      </c>
      <c r="CV40" s="27" t="str">
        <f>IF(CV39&gt;69,TRUNC(0.2797*(CV39*CV$82-100)^1.35)," ")</f>
        <v> </v>
      </c>
      <c r="CW40" s="27" t="str">
        <f>IF(CW39&gt;4.8,TRUNC(10.14*(CW39*CW$82-7)^1.08)," ")</f>
        <v> </v>
      </c>
      <c r="CX40" s="58" t="str">
        <f>IF(CX39=0," ",IF(CX39&lt;604.36,TRUNC(0.03768*(480-CX39*CX$82)^1.85)," "))</f>
        <v> </v>
      </c>
      <c r="CZ40" s="29">
        <f>SUM(CO40:CX40)</f>
        <v>0</v>
      </c>
      <c r="DA40" s="77" t="s">
        <v>34</v>
      </c>
      <c r="DB40" s="40" t="str">
        <f>IF(DB39=0," ",IF(DB39&lt;21.7,TRUNC(25.4347*(18-DB39*DB$82)^1.81)," "))</f>
        <v> </v>
      </c>
      <c r="DC40" s="27" t="str">
        <f>IF(DC39&gt;155,TRUNC(0.14354*(DC39*DC$82-220)^1.4)," ")</f>
        <v> </v>
      </c>
      <c r="DD40" s="27" t="str">
        <f>IF(DD39&gt;1.2,TRUNC(51.39*(DD39*DD$82-1.5)^1.05)," ")</f>
        <v> </v>
      </c>
      <c r="DE40" s="27" t="str">
        <f>IF(DE39&gt;55,TRUNC(0.84565*(DE39*DE$82-75)^1.42)," ")</f>
        <v> </v>
      </c>
      <c r="DF40" s="27" t="str">
        <f>IF(DF39=0," ",IF(DF39&lt;99.46,TRUNC(1.53775*(82-DF39*DF$82)^1.81)," "))</f>
        <v> </v>
      </c>
      <c r="DG40" s="27" t="str">
        <f>IF(DG39=0," ",IF(DG39&lt;31,TRUNC(5.74352*(28.5-DG39*DG$82)^1.92)," "))</f>
        <v> </v>
      </c>
      <c r="DH40" s="27" t="str">
        <f>IF(DH39&gt;3.7,TRUNC(12.91*(DH39*DH$82-4)^1.1)," ")</f>
        <v> </v>
      </c>
      <c r="DI40" s="27" t="str">
        <f>IF(DI39&gt;69,TRUNC(0.2797*(DI39*DI$82-100)^1.35)," ")</f>
        <v> </v>
      </c>
      <c r="DJ40" s="27" t="str">
        <f>IF(DJ39&gt;4.8,TRUNC(10.14*(DJ39*DJ$82-7)^1.08)," ")</f>
        <v> </v>
      </c>
      <c r="DK40" s="58" t="str">
        <f>IF(DK39=0," ",IF(DK39&lt;604.36,TRUNC(0.03768*(480-DK39*DK$82)^1.85)," "))</f>
        <v> </v>
      </c>
      <c r="DM40" s="29">
        <f>SUM(DB40:DK40)</f>
        <v>0</v>
      </c>
      <c r="DN40" s="77" t="s">
        <v>34</v>
      </c>
      <c r="DO40" s="40" t="str">
        <f>IF(DO39=0," ",IF(DO39&lt;21.7,TRUNC(25.4347*(18-DO39*DO$82)^1.81)," "))</f>
        <v> </v>
      </c>
      <c r="DP40" s="27" t="str">
        <f>IF(DP39&gt;155,TRUNC(0.14354*(DP39*DP$82-220)^1.4)," ")</f>
        <v> </v>
      </c>
      <c r="DQ40" s="27" t="str">
        <f>IF(DQ39&gt;1.2,TRUNC(51.39*(DQ39*DQ$82-1.5)^1.05)," ")</f>
        <v> </v>
      </c>
      <c r="DR40" s="27" t="str">
        <f>IF(DR39&gt;55,TRUNC(0.84565*(DR39*DR$82-75)^1.42)," ")</f>
        <v> </v>
      </c>
      <c r="DS40" s="27" t="str">
        <f>IF(DS39=0," ",IF(DS39&lt;99.46,TRUNC(1.53775*(82-DS39*DS$82)^1.81)," "))</f>
        <v> </v>
      </c>
      <c r="DT40" s="27" t="str">
        <f>IF(DT39=0," ",IF(DT39&lt;31,TRUNC(5.74352*(28.5-DT39*DT$82)^1.92)," "))</f>
        <v> </v>
      </c>
      <c r="DU40" s="27" t="str">
        <f>IF(DU39&gt;3.7,TRUNC(12.91*(DU39*DU$82-4)^1.1)," ")</f>
        <v> </v>
      </c>
      <c r="DV40" s="27" t="str">
        <f>IF(DV39&gt;69,TRUNC(0.2797*(DV39*DV$82-100)^1.35)," ")</f>
        <v> </v>
      </c>
      <c r="DW40" s="27" t="str">
        <f>IF(DW39&gt;4.8,TRUNC(10.14*(DW39*DW$82-7)^1.08)," ")</f>
        <v> </v>
      </c>
      <c r="DX40" s="58" t="str">
        <f>IF(DX39=0," ",IF(DX39&lt;604.36,TRUNC(0.03768*(480-DX39*DX$82)^1.85)," "))</f>
        <v> </v>
      </c>
      <c r="DZ40" s="29">
        <f>SUM(DO40:DX40)</f>
        <v>0</v>
      </c>
      <c r="EA40" s="77" t="s">
        <v>34</v>
      </c>
      <c r="EB40" s="40" t="str">
        <f>IF(EB39=0," ",IF(EB39&lt;21.7,TRUNC(25.4347*(18-EB39*EB$82)^1.81)," "))</f>
        <v> </v>
      </c>
      <c r="EC40" s="27" t="str">
        <f>IF(EC39&gt;155,TRUNC(0.14354*(EC39*EC$82-220)^1.4)," ")</f>
        <v> </v>
      </c>
      <c r="ED40" s="27" t="str">
        <f>IF(ED39&gt;1.2,TRUNC(51.39*(ED39*ED$82-1.5)^1.05)," ")</f>
        <v> </v>
      </c>
      <c r="EE40" s="27" t="str">
        <f>IF(EE39&gt;55,TRUNC(0.84565*(EE39*EE$82-75)^1.42)," ")</f>
        <v> </v>
      </c>
      <c r="EF40" s="27" t="str">
        <f>IF(EF39=0," ",IF(EF39&lt;99.46,TRUNC(1.53775*(82-EF39*EF$82)^1.81)," "))</f>
        <v> </v>
      </c>
      <c r="EG40" s="27" t="str">
        <f>IF(EG39=0," ",IF(EG39&lt;31,TRUNC(5.74352*(28.5-EG39*EG$82)^1.92)," "))</f>
        <v> </v>
      </c>
      <c r="EH40" s="27" t="str">
        <f>IF(EH39&gt;3.7,TRUNC(12.91*(EH39*EH$82-4)^1.1)," ")</f>
        <v> </v>
      </c>
      <c r="EI40" s="27" t="str">
        <f>IF(EI39&gt;69,TRUNC(0.2797*(EI39*EI$82-100)^1.35)," ")</f>
        <v> </v>
      </c>
      <c r="EJ40" s="27" t="str">
        <f>IF(EJ39&gt;4.8,TRUNC(10.14*(EJ39*EJ$82-7)^1.08)," ")</f>
        <v> </v>
      </c>
      <c r="EK40" s="58" t="str">
        <f>IF(EK39=0," ",IF(EK39&lt;604.36,TRUNC(0.03768*(480-EK39*EK$82)^1.85)," "))</f>
        <v> </v>
      </c>
      <c r="EM40" s="29">
        <f>SUM(EB40:EK40)</f>
        <v>0</v>
      </c>
      <c r="EN40" s="77" t="s">
        <v>34</v>
      </c>
      <c r="EO40" s="40" t="str">
        <f>IF(EO39=0," ",IF(EO39&lt;21.7,TRUNC(25.4347*(18-EO39*EO$82)^1.81)," "))</f>
        <v> </v>
      </c>
      <c r="EP40" s="27" t="str">
        <f>IF(EP39&gt;155,TRUNC(0.14354*(EP39*EP$82-220)^1.4)," ")</f>
        <v> </v>
      </c>
      <c r="EQ40" s="27" t="str">
        <f>IF(EQ39&gt;1.2,TRUNC(51.39*(EQ39*EQ$82-1.5)^1.05)," ")</f>
        <v> </v>
      </c>
      <c r="ER40" s="27" t="str">
        <f>IF(ER39&gt;55,TRUNC(0.84565*(ER39*ER$82-75)^1.42)," ")</f>
        <v> </v>
      </c>
      <c r="ES40" s="27" t="str">
        <f>IF(ES39=0," ",IF(ES39&lt;99.46,TRUNC(1.53775*(82-ES39*ES$82)^1.81)," "))</f>
        <v> </v>
      </c>
      <c r="ET40" s="27" t="str">
        <f>IF(ET39=0," ",IF(ET39&lt;31,TRUNC(5.74352*(28.5-ET39*ET$82)^1.92)," "))</f>
        <v> </v>
      </c>
      <c r="EU40" s="27" t="str">
        <f>IF(EU39&gt;3.7,TRUNC(12.91*(EU39*EU$82-4)^1.1)," ")</f>
        <v> </v>
      </c>
      <c r="EV40" s="27" t="str">
        <f>IF(EV39&gt;69,TRUNC(0.2797*(EV39*EV$82-100)^1.35)," ")</f>
        <v> </v>
      </c>
      <c r="EW40" s="27" t="str">
        <f>IF(EW39&gt;4.8,TRUNC(10.14*(EW39*EW$82-7)^1.08)," ")</f>
        <v> </v>
      </c>
      <c r="EX40" s="58" t="str">
        <f>IF(EX39=0," ",IF(EX39&lt;604.36,TRUNC(0.03768*(480-EX39*EX$82)^1.85)," "))</f>
        <v> </v>
      </c>
      <c r="EZ40" s="29">
        <f>SUM(EO40:EX40)</f>
        <v>0</v>
      </c>
      <c r="FA40" s="77" t="s">
        <v>34</v>
      </c>
      <c r="FB40" s="40" t="str">
        <f>IF(FB39=0," ",IF(FB39&lt;21.7,TRUNC(25.4347*(18-FB39*FB$82)^1.81)," "))</f>
        <v> </v>
      </c>
      <c r="FC40" s="27" t="str">
        <f>IF(FC39&gt;155,TRUNC(0.14354*(FC39*FC$82-220)^1.4)," ")</f>
        <v> </v>
      </c>
      <c r="FD40" s="27" t="str">
        <f>IF(FD39&gt;1.2,TRUNC(51.39*(FD39*FD$82-1.5)^1.05)," ")</f>
        <v> </v>
      </c>
      <c r="FE40" s="27" t="str">
        <f>IF(FE39&gt;55,TRUNC(0.84565*(FE39*FE$82-75)^1.42)," ")</f>
        <v> </v>
      </c>
      <c r="FF40" s="27" t="str">
        <f>IF(FF39=0," ",IF(FF39&lt;99.46,TRUNC(1.53775*(82-FF39*FF$82)^1.81)," "))</f>
        <v> </v>
      </c>
      <c r="FG40" s="27" t="str">
        <f>IF(FG39=0," ",IF(FG39&lt;31,TRUNC(5.74352*(28.5-FG39*FG$82)^1.92)," "))</f>
        <v> </v>
      </c>
      <c r="FH40" s="27" t="str">
        <f>IF(FH39&gt;3.7,TRUNC(12.91*(FH39*FH$82-4)^1.1)," ")</f>
        <v> </v>
      </c>
      <c r="FI40" s="27" t="str">
        <f>IF(FI39&gt;69,TRUNC(0.2797*(FI39*FI$82-100)^1.35)," ")</f>
        <v> </v>
      </c>
      <c r="FJ40" s="27" t="str">
        <f>IF(FJ39&gt;4.8,TRUNC(10.14*(FJ39*FJ$82-7)^1.08)," ")</f>
        <v> </v>
      </c>
      <c r="FK40" s="58" t="str">
        <f>IF(FK39=0," ",IF(FK39&lt;604.36,TRUNC(0.03768*(480-FK39*FK$82)^1.85)," "))</f>
        <v> </v>
      </c>
      <c r="FM40" s="29">
        <f>SUM(FB40:FK40)</f>
        <v>0</v>
      </c>
      <c r="FN40" s="77" t="s">
        <v>34</v>
      </c>
      <c r="FO40" s="40" t="str">
        <f>IF(FO39=0," ",IF(FO39&lt;21.7,TRUNC(25.4347*(18-FO39*FO$82)^1.81)," "))</f>
        <v> </v>
      </c>
      <c r="FP40" s="27" t="str">
        <f>IF(FP39&gt;155,TRUNC(0.14354*(FP39*FP$82-220)^1.4)," ")</f>
        <v> </v>
      </c>
      <c r="FQ40" s="27" t="str">
        <f>IF(FQ39&gt;1.2,TRUNC(51.39*(FQ39*FQ$82-1.5)^1.05)," ")</f>
        <v> </v>
      </c>
      <c r="FR40" s="27" t="str">
        <f>IF(FR39&gt;55,TRUNC(0.84565*(FR39*FR$82-75)^1.42)," ")</f>
        <v> </v>
      </c>
      <c r="FS40" s="27" t="str">
        <f>IF(FS39=0," ",IF(FS39&lt;99.46,TRUNC(1.53775*(82-FS39*FS$82)^1.81)," "))</f>
        <v> </v>
      </c>
      <c r="FT40" s="27" t="str">
        <f>IF(FT39=0," ",IF(FT39&lt;31,TRUNC(5.74352*(28.5-FT39*FT$82)^1.92)," "))</f>
        <v> </v>
      </c>
      <c r="FU40" s="27" t="str">
        <f>IF(FU39&gt;3.7,TRUNC(12.91*(FU39*FU$82-4)^1.1)," ")</f>
        <v> </v>
      </c>
      <c r="FV40" s="27" t="str">
        <f>IF(FV39&gt;69,TRUNC(0.2797*(FV39*FV$82-100)^1.35)," ")</f>
        <v> </v>
      </c>
      <c r="FW40" s="27" t="str">
        <f>IF(FW39&gt;4.8,TRUNC(10.14*(FW39*FW$82-7)^1.08)," ")</f>
        <v> </v>
      </c>
      <c r="FX40" s="58" t="str">
        <f>IF(FX39=0," ",IF(FX39&lt;604.36,TRUNC(0.03768*(480-FX39*FX$82)^1.85)," "))</f>
        <v> </v>
      </c>
      <c r="FZ40" s="29">
        <f>SUM(FO40:FX40)</f>
        <v>0</v>
      </c>
      <c r="GA40" s="77" t="s">
        <v>34</v>
      </c>
      <c r="GB40" s="40" t="str">
        <f>IF(GB39=0," ",IF(GB39&lt;21.7,TRUNC(25.4347*(18-GB39*GB$82)^1.81)," "))</f>
        <v> </v>
      </c>
      <c r="GC40" s="27" t="str">
        <f>IF(GC39&gt;155,TRUNC(0.14354*(GC39*GC$82-220)^1.4)," ")</f>
        <v> </v>
      </c>
      <c r="GD40" s="27" t="str">
        <f>IF(GD39&gt;1.2,TRUNC(51.39*(GD39*GD$82-1.5)^1.05)," ")</f>
        <v> </v>
      </c>
      <c r="GE40" s="27" t="str">
        <f>IF(GE39&gt;55,TRUNC(0.84565*(GE39*GE$82-75)^1.42)," ")</f>
        <v> </v>
      </c>
      <c r="GF40" s="27" t="str">
        <f>IF(GF39=0," ",IF(GF39&lt;99.46,TRUNC(1.53775*(82-GF39*GF$82)^1.81)," "))</f>
        <v> </v>
      </c>
      <c r="GG40" s="27" t="str">
        <f>IF(GG39=0," ",IF(GG39&lt;31,TRUNC(5.74352*(28.5-GG39*GG$82)^1.92)," "))</f>
        <v> </v>
      </c>
      <c r="GH40" s="27" t="str">
        <f>IF(GH39&gt;3.7,TRUNC(12.91*(GH39*GH$82-4)^1.1)," ")</f>
        <v> </v>
      </c>
      <c r="GI40" s="27" t="str">
        <f>IF(GI39&gt;69,TRUNC(0.2797*(GI39*GI$82-100)^1.35)," ")</f>
        <v> </v>
      </c>
      <c r="GJ40" s="27" t="str">
        <f>IF(GJ39&gt;4.8,TRUNC(10.14*(GJ39*GJ$82-7)^1.08)," ")</f>
        <v> </v>
      </c>
      <c r="GK40" s="58" t="str">
        <f>IF(GK39=0," ",IF(GK39&lt;604.36,TRUNC(0.03768*(480-GK39*GK$82)^1.85)," "))</f>
        <v> </v>
      </c>
      <c r="GM40" s="29">
        <f>SUM(GB40:GK40)</f>
        <v>0</v>
      </c>
      <c r="GN40" s="77" t="s">
        <v>34</v>
      </c>
      <c r="GO40" s="40" t="str">
        <f>IF(GO39=0," ",IF(GO39&lt;21.7,TRUNC(25.4347*(18-GO39*GO$82)^1.81)," "))</f>
        <v> </v>
      </c>
      <c r="GP40" s="27" t="str">
        <f>IF(GP39&gt;155,TRUNC(0.14354*(GP39*GP$82-220)^1.4)," ")</f>
        <v> </v>
      </c>
      <c r="GQ40" s="27" t="str">
        <f>IF(GQ39&gt;1.2,TRUNC(51.39*(GQ39*GQ$82-1.5)^1.05)," ")</f>
        <v> </v>
      </c>
      <c r="GR40" s="27" t="str">
        <f>IF(GR39&gt;55,TRUNC(0.84565*(GR39*GR$82-75)^1.42)," ")</f>
        <v> </v>
      </c>
      <c r="GS40" s="27" t="str">
        <f>IF(GS39=0," ",IF(GS39&lt;99.46,TRUNC(1.53775*(82-GS39*GS$82)^1.81)," "))</f>
        <v> </v>
      </c>
      <c r="GT40" s="27" t="str">
        <f>IF(GT39=0," ",IF(GT39&lt;31,TRUNC(5.74352*(28.5-GT39*GT$82)^1.92)," "))</f>
        <v> </v>
      </c>
      <c r="GU40" s="27" t="str">
        <f>IF(GU39&gt;3.7,TRUNC(12.91*(GU39*GU$82-4)^1.1)," ")</f>
        <v> </v>
      </c>
      <c r="GV40" s="27" t="str">
        <f>IF(GV39&gt;69,TRUNC(0.2797*(GV39*GV$82-100)^1.35)," ")</f>
        <v> </v>
      </c>
      <c r="GW40" s="27" t="str">
        <f>IF(GW39&gt;4.8,TRUNC(10.14*(GW39*GW$82-7)^1.08)," ")</f>
        <v> </v>
      </c>
      <c r="GX40" s="58" t="str">
        <f>IF(GX39=0," ",IF(GX39&lt;604.36,TRUNC(0.03768*(480-GX39*GX$82)^1.85)," "))</f>
        <v> </v>
      </c>
      <c r="GZ40" s="29">
        <f>SUM(GO40:GX40)</f>
        <v>0</v>
      </c>
      <c r="HA40" s="77" t="s">
        <v>34</v>
      </c>
      <c r="HB40" s="40" t="str">
        <f>IF(HB39=0," ",IF(HB39&lt;21.7,TRUNC(25.4347*(18-HB39*HB$82)^1.81)," "))</f>
        <v> </v>
      </c>
      <c r="HC40" s="27" t="str">
        <f>IF(HC39&gt;155,TRUNC(0.14354*(HC39*HC$82-220)^1.4)," ")</f>
        <v> </v>
      </c>
      <c r="HD40" s="27" t="str">
        <f>IF(HD39&gt;1.2,TRUNC(51.39*(HD39*HD$82-1.5)^1.05)," ")</f>
        <v> </v>
      </c>
      <c r="HE40" s="27" t="str">
        <f>IF(HE39&gt;55,TRUNC(0.84565*(HE39*HE$82-75)^1.42)," ")</f>
        <v> </v>
      </c>
      <c r="HF40" s="27" t="str">
        <f>IF(HF39=0," ",IF(HF39&lt;99.46,TRUNC(1.53775*(82-HF39*HF$82)^1.81)," "))</f>
        <v> </v>
      </c>
      <c r="HG40" s="27" t="str">
        <f>IF(HG39=0," ",IF(HG39&lt;31,TRUNC(5.74352*(28.5-HG39*HG$82)^1.92)," "))</f>
        <v> </v>
      </c>
      <c r="HH40" s="27" t="str">
        <f>IF(HH39&gt;3.7,TRUNC(12.91*(HH39*HH$82-4)^1.1)," ")</f>
        <v> </v>
      </c>
      <c r="HI40" s="27" t="str">
        <f>IF(HI39&gt;69,TRUNC(0.2797*(HI39*HI$82-100)^1.35)," ")</f>
        <v> </v>
      </c>
      <c r="HJ40" s="27" t="str">
        <f>IF(HJ39&gt;4.8,TRUNC(10.14*(HJ39*HJ$82-7)^1.08)," ")</f>
        <v> </v>
      </c>
      <c r="HK40" s="58" t="str">
        <f>IF(HK39=0," ",IF(HK39&lt;604.36,TRUNC(0.03768*(480-HK39*HK$82)^1.85)," "))</f>
        <v> </v>
      </c>
      <c r="HM40" s="29">
        <f>SUM(HB40:HK40)</f>
        <v>0</v>
      </c>
      <c r="HN40" s="77" t="s">
        <v>34</v>
      </c>
      <c r="HO40" s="40" t="str">
        <f>IF(HO39=0," ",IF(HO39&lt;21.7,TRUNC(25.4347*(18-HO39*HO$82)^1.81)," "))</f>
        <v> </v>
      </c>
      <c r="HP40" s="27" t="str">
        <f>IF(HP39&gt;155,TRUNC(0.14354*(HP39*HP$82-220)^1.4)," ")</f>
        <v> </v>
      </c>
      <c r="HQ40" s="27" t="str">
        <f>IF(HQ39&gt;1.2,TRUNC(51.39*(HQ39*HQ$82-1.5)^1.05)," ")</f>
        <v> </v>
      </c>
      <c r="HR40" s="27" t="str">
        <f>IF(HR39&gt;55,TRUNC(0.84565*(HR39*HR$82-75)^1.42)," ")</f>
        <v> </v>
      </c>
      <c r="HS40" s="27" t="str">
        <f>IF(HS39=0," ",IF(HS39&lt;99.46,TRUNC(1.53775*(82-HS39*HS$82)^1.81)," "))</f>
        <v> </v>
      </c>
      <c r="HT40" s="27" t="str">
        <f>IF(HT39=0," ",IF(HT39&lt;31,TRUNC(5.74352*(28.5-HT39*HT$82)^1.92)," "))</f>
        <v> </v>
      </c>
      <c r="HU40" s="27" t="str">
        <f>IF(HU39&gt;3.7,TRUNC(12.91*(HU39*HU$82-4)^1.1)," ")</f>
        <v> </v>
      </c>
      <c r="HV40" s="27" t="str">
        <f>IF(HV39&gt;69,TRUNC(0.2797*(HV39*HV$82-100)^1.35)," ")</f>
        <v> </v>
      </c>
      <c r="HW40" s="27" t="str">
        <f>IF(HW39&gt;4.8,TRUNC(10.14*(HW39*HW$82-7)^1.08)," ")</f>
        <v> </v>
      </c>
      <c r="HX40" s="58" t="str">
        <f>IF(HX39=0," ",IF(HX39&lt;604.36,TRUNC(0.03768*(480-HX39*HX$82)^1.85)," "))</f>
        <v> </v>
      </c>
      <c r="HZ40" s="29">
        <f>SUM(HO40:HX40)</f>
        <v>0</v>
      </c>
      <c r="IA40" s="77" t="s">
        <v>34</v>
      </c>
      <c r="IB40" s="40" t="str">
        <f>IF(IB39=0," ",IF(IB39&lt;21.7,TRUNC(25.4347*(18-IB39*IB$82)^1.81)," "))</f>
        <v> </v>
      </c>
      <c r="IC40" s="27" t="str">
        <f>IF(IC39&gt;155,TRUNC(0.14354*(IC39*IC$82-220)^1.4)," ")</f>
        <v> </v>
      </c>
      <c r="ID40" s="27" t="str">
        <f>IF(ID39&gt;1.2,TRUNC(51.39*(ID39*ID$82-1.5)^1.05)," ")</f>
        <v> </v>
      </c>
      <c r="IE40" s="27" t="str">
        <f>IF(IE39&gt;55,TRUNC(0.84565*(IE39*IE$82-75)^1.42)," ")</f>
        <v> </v>
      </c>
      <c r="IF40" s="27" t="str">
        <f>IF(IF39=0," ",IF(IF39&lt;99.46,TRUNC(1.53775*(82-IF39*IF$82)^1.81)," "))</f>
        <v> </v>
      </c>
      <c r="IG40" s="27" t="str">
        <f>IF(IG39=0," ",IF(IG39&lt;31,TRUNC(5.74352*(28.5-IG39*IG$82)^1.92)," "))</f>
        <v> </v>
      </c>
      <c r="IH40" s="27" t="str">
        <f>IF(IH39&gt;3.7,TRUNC(12.91*(IH39*IH$82-4)^1.1)," ")</f>
        <v> </v>
      </c>
      <c r="II40" s="27" t="str">
        <f>IF(II39&gt;69,TRUNC(0.2797*(II39*II$82-100)^1.35)," ")</f>
        <v> </v>
      </c>
      <c r="IJ40" s="27" t="str">
        <f>IF(IJ39&gt;4.8,TRUNC(10.14*(IJ39*IJ$82-7)^1.08)," ")</f>
        <v> </v>
      </c>
      <c r="IK40" s="58" t="str">
        <f>IF(IK39=0," ",IF(IK39&lt;604.36,TRUNC(0.03768*(480-IK39*IK$82)^1.85)," "))</f>
        <v> </v>
      </c>
      <c r="IM40" s="29">
        <f>SUM(IB40:IK40)</f>
        <v>0</v>
      </c>
      <c r="IN40" s="77" t="s">
        <v>34</v>
      </c>
      <c r="IO40" s="40" t="str">
        <f>IF(IO39=0," ",IF(IO39&lt;21.7,TRUNC(25.4347*(18-IO39*IO$82)^1.81)," "))</f>
        <v> </v>
      </c>
      <c r="IP40" s="27" t="str">
        <f>IF(IP39&gt;155,TRUNC(0.14354*(IP39*IP$82-220)^1.4)," ")</f>
        <v> </v>
      </c>
      <c r="IQ40" s="27" t="str">
        <f>IF(IQ39&gt;1.2,TRUNC(51.39*(IQ39*IQ$82-1.5)^1.05)," ")</f>
        <v> </v>
      </c>
      <c r="IR40" s="27" t="str">
        <f>IF(IR39&gt;55,TRUNC(0.84565*(IR39*IR$82-75)^1.42)," ")</f>
        <v> </v>
      </c>
      <c r="IS40" s="27" t="str">
        <f>IF(IS39=0," ",IF(IS39&lt;99.46,TRUNC(1.53775*(82-IS39*IS$82)^1.81)," "))</f>
        <v> </v>
      </c>
      <c r="IT40" s="27" t="str">
        <f>IF(IT39=0," ",IF(IT39&lt;31,TRUNC(5.74352*(28.5-IT39*IT$82)^1.92)," "))</f>
        <v> </v>
      </c>
      <c r="IU40" s="27" t="str">
        <f>IF(IU39&gt;3.7,TRUNC(12.91*(IU39*IU$82-4)^1.1)," ")</f>
        <v> </v>
      </c>
      <c r="IV40" s="27" t="str">
        <f>IF(IV39&gt;69,TRUNC(0.2797*(IV39*IV$82-100)^1.35)," ")</f>
        <v> </v>
      </c>
    </row>
    <row r="41" spans="1:18" s="2" customFormat="1" ht="23.25" customHeight="1">
      <c r="A41" s="17" t="s">
        <v>147</v>
      </c>
      <c r="B41" s="18">
        <v>16.03</v>
      </c>
      <c r="C41" s="74">
        <v>328</v>
      </c>
      <c r="D41" s="75">
        <v>7.13</v>
      </c>
      <c r="E41" s="74">
        <v>115</v>
      </c>
      <c r="F41" s="75">
        <v>83</v>
      </c>
      <c r="G41" s="75">
        <v>22.33</v>
      </c>
      <c r="H41" s="75">
        <v>19.52</v>
      </c>
      <c r="I41" s="74">
        <v>200</v>
      </c>
      <c r="J41" s="75">
        <v>21.18</v>
      </c>
      <c r="K41" s="75"/>
      <c r="L41" s="234"/>
      <c r="M41" s="23"/>
      <c r="N41" s="8" t="s">
        <v>151</v>
      </c>
      <c r="O41" s="3"/>
      <c r="P41" s="197">
        <f>100*P42/M42</f>
        <v>32.520791511327786</v>
      </c>
      <c r="Q41" s="203">
        <f>100*Q42/M42</f>
        <v>34.95841697734442</v>
      </c>
      <c r="R41" s="204">
        <f>100*R42/M42</f>
        <v>32.520791511327786</v>
      </c>
    </row>
    <row r="42" spans="1:18" s="52" customFormat="1" ht="23.25" customHeight="1">
      <c r="A42" s="77" t="s">
        <v>120</v>
      </c>
      <c r="B42" s="88">
        <f>IF(B41=0," ",IF(B41&lt;21.7,TRUNC(25.4347*(18-B41*B$83)^1.81)," "))</f>
        <v>468</v>
      </c>
      <c r="C42" s="89">
        <f>IF(C41&gt;155,TRUNC(0.14354*(C41*C$83-220)^1.4)," ")</f>
        <v>379</v>
      </c>
      <c r="D42" s="89">
        <f>IF(D41&gt;1.2,TRUNC(51.39*(D41*D$83-1.5)^1.05)," ")</f>
        <v>468</v>
      </c>
      <c r="E42" s="89">
        <f>IF(E41&gt;55,TRUNC(0.84565*(E41*E$83-75)^1.42)," ")</f>
        <v>460</v>
      </c>
      <c r="F42" s="89">
        <f>IF(F41=0," ",IF(F41&lt;105,TRUNC(1.53775*(82-F41*F$83)^1.81)," "))</f>
        <v>258</v>
      </c>
      <c r="G42" s="89">
        <f>IF(G41=0," ",IF(G41&lt;31,TRUNC(5.74352*(28.5-G41*G$83)^1.92)," "))</f>
        <v>408</v>
      </c>
      <c r="H42" s="89">
        <f>IF(H41&gt;3.7,TRUNC(12.91*(H41*H$83-4)^1.1)," ")</f>
        <v>323</v>
      </c>
      <c r="I42" s="89">
        <f>IF(I41&gt;69,TRUNC(0.2797*(I41*I$83-100)^1.35)," ")</f>
        <v>380</v>
      </c>
      <c r="J42" s="89">
        <f>IF(J41&gt;4.8,TRUNC(10.14*(J41*J$83-7)^1.08)," ")</f>
        <v>343</v>
      </c>
      <c r="K42" s="89" t="str">
        <f>IF(K41=0," ",IF(K41&lt;604.36,TRUNC(0.03768*(480-K41*K$83)^1.85)," "))</f>
        <v> </v>
      </c>
      <c r="L42" s="228"/>
      <c r="M42" s="29">
        <f>SUM(B42:K42)</f>
        <v>3487</v>
      </c>
      <c r="N42" s="30"/>
      <c r="O42" s="31">
        <f>MAX(B42:K42)</f>
        <v>468</v>
      </c>
      <c r="P42" s="198">
        <f>SUM(B42,F42,G42,K42)</f>
        <v>1134</v>
      </c>
      <c r="Q42" s="205">
        <f>SUM(C42,E42,I42)</f>
        <v>1219</v>
      </c>
      <c r="R42" s="206">
        <f>SUM(D42,H42,J42)</f>
        <v>1134</v>
      </c>
    </row>
    <row r="43" spans="1:18" s="279" customFormat="1" ht="23.25" customHeight="1">
      <c r="A43" s="263" t="s">
        <v>146</v>
      </c>
      <c r="B43" s="264">
        <v>14.94</v>
      </c>
      <c r="C43" s="265">
        <v>327</v>
      </c>
      <c r="D43" s="266">
        <v>7.26</v>
      </c>
      <c r="E43" s="265">
        <v>120</v>
      </c>
      <c r="F43" s="266">
        <v>85</v>
      </c>
      <c r="G43" s="266"/>
      <c r="H43" s="266">
        <v>20.42</v>
      </c>
      <c r="I43" s="272">
        <v>210</v>
      </c>
      <c r="J43" s="266"/>
      <c r="K43" s="79"/>
      <c r="L43" s="267"/>
      <c r="M43" s="273"/>
      <c r="N43" s="274" t="s">
        <v>152</v>
      </c>
      <c r="O43" s="275"/>
      <c r="P43" s="276">
        <f>100*P44/M44</f>
        <v>28.379287155346336</v>
      </c>
      <c r="Q43" s="277">
        <f>100*Q44/M44</f>
        <v>44.014794889038335</v>
      </c>
      <c r="R43" s="278">
        <f>100*R44/M44</f>
        <v>27.605917955615332</v>
      </c>
    </row>
    <row r="44" spans="1:18" s="285" customFormat="1" ht="23.25" customHeight="1">
      <c r="A44" s="77" t="s">
        <v>120</v>
      </c>
      <c r="B44" s="88">
        <f>IF(B43=0," ",IF(B43&lt;21.7,TRUNC(25.4347*(18-B43*B$83)^1.81)," "))</f>
        <v>628</v>
      </c>
      <c r="C44" s="89">
        <f>IF(C43&gt;155,TRUNC(0.14354*(C43*C$83-220)^1.4)," ")</f>
        <v>376</v>
      </c>
      <c r="D44" s="89">
        <f>IF(D43&gt;1.2,TRUNC(51.39*(D43*D$83-1.5)^1.05)," ")</f>
        <v>478</v>
      </c>
      <c r="E44" s="89">
        <f>IF(E43&gt;55,TRUNC(0.84565*(E43*E$83-75)^1.42)," ")</f>
        <v>515</v>
      </c>
      <c r="F44" s="89">
        <f>IF(F43=0," ",IF(F43&lt;105,TRUNC(1.53775*(82-F43*F$83)^1.81)," "))</f>
        <v>216</v>
      </c>
      <c r="G44" s="89" t="str">
        <f>IF(G43=0," ",IF(G43&lt;31,TRUNC(5.74352*(28.5-G43*G$83)^1.92)," "))</f>
        <v> </v>
      </c>
      <c r="H44" s="89">
        <f>IF(H43&gt;3.7,TRUNC(12.91*(H43*H$83-4)^1.1)," ")</f>
        <v>343</v>
      </c>
      <c r="I44" s="89">
        <f>IF(I43&gt;69,TRUNC(0.2797*(I43*I$83-100)^1.35)," ")</f>
        <v>418</v>
      </c>
      <c r="J44" s="89" t="str">
        <f>IF(J43&gt;4.8,TRUNC(10.14*(J43*J$83-7)^1.08)," ")</f>
        <v> </v>
      </c>
      <c r="K44" s="89" t="str">
        <f>IF(K43=0," ",IF(K43&lt;604.36,TRUNC(0.03768*(480-K43*K$83)^1.85)," "))</f>
        <v> </v>
      </c>
      <c r="L44" s="270"/>
      <c r="M44" s="271">
        <f>SUM(B44:K44)</f>
        <v>2974</v>
      </c>
      <c r="N44" s="280"/>
      <c r="O44" s="281">
        <f>MAX(B44:K44)</f>
        <v>628</v>
      </c>
      <c r="P44" s="282">
        <f>SUM(B44,F44,G44,K44)</f>
        <v>844</v>
      </c>
      <c r="Q44" s="283">
        <f>SUM(C44,E44,I44)</f>
        <v>1309</v>
      </c>
      <c r="R44" s="284">
        <f>SUM(D44,H44,J44)</f>
        <v>821</v>
      </c>
    </row>
    <row r="45" spans="1:18" s="2" customFormat="1" ht="23.25" customHeight="1">
      <c r="A45" s="17" t="s">
        <v>35</v>
      </c>
      <c r="B45" s="264">
        <v>17.26</v>
      </c>
      <c r="C45" s="265">
        <v>285</v>
      </c>
      <c r="D45" s="266">
        <v>6.69</v>
      </c>
      <c r="E45" s="265">
        <v>115</v>
      </c>
      <c r="F45" s="266">
        <v>87.9</v>
      </c>
      <c r="G45" s="266"/>
      <c r="H45" s="266">
        <v>17.61</v>
      </c>
      <c r="I45" s="54">
        <v>170</v>
      </c>
      <c r="J45" s="79">
        <v>14.12</v>
      </c>
      <c r="K45" s="79">
        <v>430</v>
      </c>
      <c r="L45" s="234"/>
      <c r="M45" s="23"/>
      <c r="N45" s="8" t="s">
        <v>153</v>
      </c>
      <c r="O45" s="3"/>
      <c r="P45" s="197">
        <f>100*P46/M46</f>
        <v>32.344531808434596</v>
      </c>
      <c r="Q45" s="203">
        <f>100*Q46/M46</f>
        <v>35.41815582558971</v>
      </c>
      <c r="R45" s="204">
        <f>100*R46/M46</f>
        <v>32.2373123659757</v>
      </c>
    </row>
    <row r="46" spans="1:256" s="78" customFormat="1" ht="23.25" customHeight="1">
      <c r="A46" s="77" t="s">
        <v>120</v>
      </c>
      <c r="B46" s="88">
        <f>IF(B45=0," ",IF(B45&lt;21.7,TRUNC(25.4347*(18-B45*B$83)^1.81)," "))</f>
        <v>312</v>
      </c>
      <c r="C46" s="89">
        <f>IF(C45&gt;155,TRUNC(0.14354*(C45*C$83-220)^1.4)," ")</f>
        <v>260</v>
      </c>
      <c r="D46" s="89">
        <f>IF(D45&gt;1.2,TRUNC(51.39*(D45*D$83-1.5)^1.05)," ")</f>
        <v>432</v>
      </c>
      <c r="E46" s="89">
        <f>IF(E45&gt;55,TRUNC(0.84565*(E45*E$83-75)^1.42)," ")</f>
        <v>460</v>
      </c>
      <c r="F46" s="89">
        <f>IF(F45=0," ",IF(F45&lt;105,TRUNC(1.53775*(82-F45*F$83)^1.81)," "))</f>
        <v>162</v>
      </c>
      <c r="G46" s="89" t="str">
        <f>IF(G45=0," ",IF(G45&lt;31,TRUNC(5.74352*(28.5-G45*G$83)^1.92)," "))</f>
        <v> </v>
      </c>
      <c r="H46" s="89">
        <f>IF(H45&gt;3.7,TRUNC(12.91*(H45*H$83-4)^1.1)," ")</f>
        <v>281</v>
      </c>
      <c r="I46" s="89">
        <f>IF(I45&gt;69,TRUNC(0.2797*(I45*I$83-100)^1.35)," ")</f>
        <v>271</v>
      </c>
      <c r="J46" s="89">
        <f>IF(J45&gt;4.8,TRUNC(10.14*(J45*J$83-7)^1.08)," ")</f>
        <v>189</v>
      </c>
      <c r="K46" s="89">
        <f>IF(K45=0," ",IF(K45&lt;604.36,TRUNC(0.03768*(480-K45*K$83)^1.85)," "))</f>
        <v>431</v>
      </c>
      <c r="L46" s="228"/>
      <c r="M46" s="29">
        <f>SUM(B46:K46)</f>
        <v>2798</v>
      </c>
      <c r="N46" s="30"/>
      <c r="O46" s="31">
        <f>MAX(B46:K46)</f>
        <v>460</v>
      </c>
      <c r="P46" s="198">
        <f>SUM(B46,F46,G46,K46)</f>
        <v>905</v>
      </c>
      <c r="Q46" s="205">
        <f>SUM(C46,E46,I46)</f>
        <v>991</v>
      </c>
      <c r="R46" s="206">
        <f>SUM(D46,H46,J46)</f>
        <v>902</v>
      </c>
      <c r="S46" s="27" t="str">
        <f>IF(S45=0," ",IF(S45&lt;99.46,TRUNC(1.53775*(82-S45*S$82)^1.81)," "))</f>
        <v> </v>
      </c>
      <c r="T46" s="27" t="str">
        <f>IF(T45=0," ",IF(T45&lt;31,TRUNC(5.74352*(28.5-T45*T$82)^1.92)," "))</f>
        <v> </v>
      </c>
      <c r="U46" s="27" t="str">
        <f>IF(U45&gt;3.7,TRUNC(12.91*(U45*U$82-4)^1.1)," ")</f>
        <v> </v>
      </c>
      <c r="V46" s="27" t="str">
        <f>IF(V45&gt;69,TRUNC(0.2797*(V45*V$82-100)^1.35)," ")</f>
        <v> </v>
      </c>
      <c r="W46" s="27" t="str">
        <f>IF(W45&gt;4.8,TRUNC(10.14*(W45*W$82-7)^1.08)," ")</f>
        <v> </v>
      </c>
      <c r="X46" s="58" t="str">
        <f>IF(X45=0," ",IF(X45&lt;604.36,TRUNC(0.03768*(480-X45*X$82)^1.85)," "))</f>
        <v> </v>
      </c>
      <c r="Z46" s="29">
        <f>SUM(O46:X46)</f>
        <v>3258</v>
      </c>
      <c r="AA46" s="77" t="s">
        <v>34</v>
      </c>
      <c r="AB46" s="40" t="str">
        <f>IF(AB45=0," ",IF(AB45&lt;21.7,TRUNC(25.4347*(18-AB45*AB$82)^1.81)," "))</f>
        <v> </v>
      </c>
      <c r="AC46" s="27" t="str">
        <f>IF(AC45&gt;155,TRUNC(0.14354*(AC45*AC$82-220)^1.4)," ")</f>
        <v> </v>
      </c>
      <c r="AD46" s="27" t="str">
        <f>IF(AD45&gt;1.2,TRUNC(51.39*(AD45*AD$82-1.5)^1.05)," ")</f>
        <v> </v>
      </c>
      <c r="AE46" s="27" t="str">
        <f>IF(AE45&gt;55,TRUNC(0.84565*(AE45*AE$82-75)^1.42)," ")</f>
        <v> </v>
      </c>
      <c r="AF46" s="27" t="str">
        <f>IF(AF45=0," ",IF(AF45&lt;99.46,TRUNC(1.53775*(82-AF45*AF$82)^1.81)," "))</f>
        <v> </v>
      </c>
      <c r="AG46" s="27" t="str">
        <f>IF(AG45=0," ",IF(AG45&lt;31,TRUNC(5.74352*(28.5-AG45*AG$82)^1.92)," "))</f>
        <v> </v>
      </c>
      <c r="AH46" s="27" t="str">
        <f>IF(AH45&gt;3.7,TRUNC(12.91*(AH45*AH$82-4)^1.1)," ")</f>
        <v> </v>
      </c>
      <c r="AI46" s="27" t="str">
        <f>IF(AI45&gt;69,TRUNC(0.2797*(AI45*AI$82-100)^1.35)," ")</f>
        <v> </v>
      </c>
      <c r="AJ46" s="27" t="str">
        <f>IF(AJ45&gt;4.8,TRUNC(10.14*(AJ45*AJ$82-7)^1.08)," ")</f>
        <v> </v>
      </c>
      <c r="AK46" s="58" t="str">
        <f>IF(AK45=0," ",IF(AK45&lt;604.36,TRUNC(0.03768*(480-AK45*AK$82)^1.85)," "))</f>
        <v> </v>
      </c>
      <c r="AM46" s="29">
        <f>SUM(AB46:AK46)</f>
        <v>0</v>
      </c>
      <c r="AN46" s="77" t="s">
        <v>34</v>
      </c>
      <c r="AO46" s="40" t="str">
        <f>IF(AO45=0," ",IF(AO45&lt;21.7,TRUNC(25.4347*(18-AO45*AO$82)^1.81)," "))</f>
        <v> </v>
      </c>
      <c r="AP46" s="27" t="str">
        <f>IF(AP45&gt;155,TRUNC(0.14354*(AP45*AP$82-220)^1.4)," ")</f>
        <v> </v>
      </c>
      <c r="AQ46" s="27" t="str">
        <f>IF(AQ45&gt;1.2,TRUNC(51.39*(AQ45*AQ$82-1.5)^1.05)," ")</f>
        <v> </v>
      </c>
      <c r="AR46" s="27" t="str">
        <f>IF(AR45&gt;55,TRUNC(0.84565*(AR45*AR$82-75)^1.42)," ")</f>
        <v> </v>
      </c>
      <c r="AS46" s="27" t="str">
        <f>IF(AS45=0," ",IF(AS45&lt;99.46,TRUNC(1.53775*(82-AS45*AS$82)^1.81)," "))</f>
        <v> </v>
      </c>
      <c r="AT46" s="27" t="str">
        <f>IF(AT45=0," ",IF(AT45&lt;31,TRUNC(5.74352*(28.5-AT45*AT$82)^1.92)," "))</f>
        <v> </v>
      </c>
      <c r="AU46" s="27" t="str">
        <f>IF(AU45&gt;3.7,TRUNC(12.91*(AU45*AU$82-4)^1.1)," ")</f>
        <v> </v>
      </c>
      <c r="AV46" s="27" t="str">
        <f>IF(AV45&gt;69,TRUNC(0.2797*(AV45*AV$82-100)^1.35)," ")</f>
        <v> </v>
      </c>
      <c r="AW46" s="27" t="str">
        <f>IF(AW45&gt;4.8,TRUNC(10.14*(AW45*AW$82-7)^1.08)," ")</f>
        <v> </v>
      </c>
      <c r="AX46" s="58" t="str">
        <f>IF(AX45=0," ",IF(AX45&lt;604.36,TRUNC(0.03768*(480-AX45*AX$82)^1.85)," "))</f>
        <v> </v>
      </c>
      <c r="AZ46" s="29">
        <f>SUM(AO46:AX46)</f>
        <v>0</v>
      </c>
      <c r="BA46" s="77" t="s">
        <v>34</v>
      </c>
      <c r="BB46" s="40" t="str">
        <f>IF(BB45=0," ",IF(BB45&lt;21.7,TRUNC(25.4347*(18-BB45*BB$82)^1.81)," "))</f>
        <v> </v>
      </c>
      <c r="BC46" s="27" t="str">
        <f>IF(BC45&gt;155,TRUNC(0.14354*(BC45*BC$82-220)^1.4)," ")</f>
        <v> </v>
      </c>
      <c r="BD46" s="27" t="str">
        <f>IF(BD45&gt;1.2,TRUNC(51.39*(BD45*BD$82-1.5)^1.05)," ")</f>
        <v> </v>
      </c>
      <c r="BE46" s="27" t="str">
        <f>IF(BE45&gt;55,TRUNC(0.84565*(BE45*BE$82-75)^1.42)," ")</f>
        <v> </v>
      </c>
      <c r="BF46" s="27" t="str">
        <f>IF(BF45=0," ",IF(BF45&lt;99.46,TRUNC(1.53775*(82-BF45*BF$82)^1.81)," "))</f>
        <v> </v>
      </c>
      <c r="BG46" s="27" t="str">
        <f>IF(BG45=0," ",IF(BG45&lt;31,TRUNC(5.74352*(28.5-BG45*BG$82)^1.92)," "))</f>
        <v> </v>
      </c>
      <c r="BH46" s="27" t="str">
        <f>IF(BH45&gt;3.7,TRUNC(12.91*(BH45*BH$82-4)^1.1)," ")</f>
        <v> </v>
      </c>
      <c r="BI46" s="27" t="str">
        <f>IF(BI45&gt;69,TRUNC(0.2797*(BI45*BI$82-100)^1.35)," ")</f>
        <v> </v>
      </c>
      <c r="BJ46" s="27" t="str">
        <f>IF(BJ45&gt;4.8,TRUNC(10.14*(BJ45*BJ$82-7)^1.08)," ")</f>
        <v> </v>
      </c>
      <c r="BK46" s="58" t="str">
        <f>IF(BK45=0," ",IF(BK45&lt;604.36,TRUNC(0.03768*(480-BK45*BK$82)^1.85)," "))</f>
        <v> </v>
      </c>
      <c r="BM46" s="29">
        <f>SUM(BB46:BK46)</f>
        <v>0</v>
      </c>
      <c r="BN46" s="77" t="s">
        <v>34</v>
      </c>
      <c r="BO46" s="40" t="str">
        <f>IF(BO45=0," ",IF(BO45&lt;21.7,TRUNC(25.4347*(18-BO45*BO$82)^1.81)," "))</f>
        <v> </v>
      </c>
      <c r="BP46" s="27" t="str">
        <f>IF(BP45&gt;155,TRUNC(0.14354*(BP45*BP$82-220)^1.4)," ")</f>
        <v> </v>
      </c>
      <c r="BQ46" s="27" t="str">
        <f>IF(BQ45&gt;1.2,TRUNC(51.39*(BQ45*BQ$82-1.5)^1.05)," ")</f>
        <v> </v>
      </c>
      <c r="BR46" s="27" t="str">
        <f>IF(BR45&gt;55,TRUNC(0.84565*(BR45*BR$82-75)^1.42)," ")</f>
        <v> </v>
      </c>
      <c r="BS46" s="27" t="str">
        <f>IF(BS45=0," ",IF(BS45&lt;99.46,TRUNC(1.53775*(82-BS45*BS$82)^1.81)," "))</f>
        <v> </v>
      </c>
      <c r="BT46" s="27" t="str">
        <f>IF(BT45=0," ",IF(BT45&lt;31,TRUNC(5.74352*(28.5-BT45*BT$82)^1.92)," "))</f>
        <v> </v>
      </c>
      <c r="BU46" s="27" t="str">
        <f>IF(BU45&gt;3.7,TRUNC(12.91*(BU45*BU$82-4)^1.1)," ")</f>
        <v> </v>
      </c>
      <c r="BV46" s="27" t="str">
        <f>IF(BV45&gt;69,TRUNC(0.2797*(BV45*BV$82-100)^1.35)," ")</f>
        <v> </v>
      </c>
      <c r="BW46" s="27" t="str">
        <f>IF(BW45&gt;4.8,TRUNC(10.14*(BW45*BW$82-7)^1.08)," ")</f>
        <v> </v>
      </c>
      <c r="BX46" s="58" t="str">
        <f>IF(BX45=0," ",IF(BX45&lt;604.36,TRUNC(0.03768*(480-BX45*BX$82)^1.85)," "))</f>
        <v> </v>
      </c>
      <c r="BZ46" s="29">
        <f>SUM(BO46:BX46)</f>
        <v>0</v>
      </c>
      <c r="CA46" s="77" t="s">
        <v>34</v>
      </c>
      <c r="CB46" s="40" t="str">
        <f>IF(CB45=0," ",IF(CB45&lt;21.7,TRUNC(25.4347*(18-CB45*CB$82)^1.81)," "))</f>
        <v> </v>
      </c>
      <c r="CC46" s="27" t="str">
        <f>IF(CC45&gt;155,TRUNC(0.14354*(CC45*CC$82-220)^1.4)," ")</f>
        <v> </v>
      </c>
      <c r="CD46" s="27" t="str">
        <f>IF(CD45&gt;1.2,TRUNC(51.39*(CD45*CD$82-1.5)^1.05)," ")</f>
        <v> </v>
      </c>
      <c r="CE46" s="27" t="str">
        <f>IF(CE45&gt;55,TRUNC(0.84565*(CE45*CE$82-75)^1.42)," ")</f>
        <v> </v>
      </c>
      <c r="CF46" s="27" t="str">
        <f>IF(CF45=0," ",IF(CF45&lt;99.46,TRUNC(1.53775*(82-CF45*CF$82)^1.81)," "))</f>
        <v> </v>
      </c>
      <c r="CG46" s="27" t="str">
        <f>IF(CG45=0," ",IF(CG45&lt;31,TRUNC(5.74352*(28.5-CG45*CG$82)^1.92)," "))</f>
        <v> </v>
      </c>
      <c r="CH46" s="27" t="str">
        <f>IF(CH45&gt;3.7,TRUNC(12.91*(CH45*CH$82-4)^1.1)," ")</f>
        <v> </v>
      </c>
      <c r="CI46" s="27" t="str">
        <f>IF(CI45&gt;69,TRUNC(0.2797*(CI45*CI$82-100)^1.35)," ")</f>
        <v> </v>
      </c>
      <c r="CJ46" s="27" t="str">
        <f>IF(CJ45&gt;4.8,TRUNC(10.14*(CJ45*CJ$82-7)^1.08)," ")</f>
        <v> </v>
      </c>
      <c r="CK46" s="58" t="str">
        <f>IF(CK45=0," ",IF(CK45&lt;604.36,TRUNC(0.03768*(480-CK45*CK$82)^1.85)," "))</f>
        <v> </v>
      </c>
      <c r="CM46" s="29">
        <f>SUM(CB46:CK46)</f>
        <v>0</v>
      </c>
      <c r="CN46" s="77" t="s">
        <v>34</v>
      </c>
      <c r="CO46" s="40" t="str">
        <f>IF(CO45=0," ",IF(CO45&lt;21.7,TRUNC(25.4347*(18-CO45*CO$82)^1.81)," "))</f>
        <v> </v>
      </c>
      <c r="CP46" s="27" t="str">
        <f>IF(CP45&gt;155,TRUNC(0.14354*(CP45*CP$82-220)^1.4)," ")</f>
        <v> </v>
      </c>
      <c r="CQ46" s="27" t="str">
        <f>IF(CQ45&gt;1.2,TRUNC(51.39*(CQ45*CQ$82-1.5)^1.05)," ")</f>
        <v> </v>
      </c>
      <c r="CR46" s="27" t="str">
        <f>IF(CR45&gt;55,TRUNC(0.84565*(CR45*CR$82-75)^1.42)," ")</f>
        <v> </v>
      </c>
      <c r="CS46" s="27" t="str">
        <f>IF(CS45=0," ",IF(CS45&lt;99.46,TRUNC(1.53775*(82-CS45*CS$82)^1.81)," "))</f>
        <v> </v>
      </c>
      <c r="CT46" s="27" t="str">
        <f>IF(CT45=0," ",IF(CT45&lt;31,TRUNC(5.74352*(28.5-CT45*CT$82)^1.92)," "))</f>
        <v> </v>
      </c>
      <c r="CU46" s="27" t="str">
        <f>IF(CU45&gt;3.7,TRUNC(12.91*(CU45*CU$82-4)^1.1)," ")</f>
        <v> </v>
      </c>
      <c r="CV46" s="27" t="str">
        <f>IF(CV45&gt;69,TRUNC(0.2797*(CV45*CV$82-100)^1.35)," ")</f>
        <v> </v>
      </c>
      <c r="CW46" s="27" t="str">
        <f>IF(CW45&gt;4.8,TRUNC(10.14*(CW45*CW$82-7)^1.08)," ")</f>
        <v> </v>
      </c>
      <c r="CX46" s="58" t="str">
        <f>IF(CX45=0," ",IF(CX45&lt;604.36,TRUNC(0.03768*(480-CX45*CX$82)^1.85)," "))</f>
        <v> </v>
      </c>
      <c r="CZ46" s="29">
        <f>SUM(CO46:CX46)</f>
        <v>0</v>
      </c>
      <c r="DA46" s="77" t="s">
        <v>34</v>
      </c>
      <c r="DB46" s="40" t="str">
        <f>IF(DB45=0," ",IF(DB45&lt;21.7,TRUNC(25.4347*(18-DB45*DB$82)^1.81)," "))</f>
        <v> </v>
      </c>
      <c r="DC46" s="27" t="str">
        <f>IF(DC45&gt;155,TRUNC(0.14354*(DC45*DC$82-220)^1.4)," ")</f>
        <v> </v>
      </c>
      <c r="DD46" s="27" t="str">
        <f>IF(DD45&gt;1.2,TRUNC(51.39*(DD45*DD$82-1.5)^1.05)," ")</f>
        <v> </v>
      </c>
      <c r="DE46" s="27" t="str">
        <f>IF(DE45&gt;55,TRUNC(0.84565*(DE45*DE$82-75)^1.42)," ")</f>
        <v> </v>
      </c>
      <c r="DF46" s="27" t="str">
        <f>IF(DF45=0," ",IF(DF45&lt;99.46,TRUNC(1.53775*(82-DF45*DF$82)^1.81)," "))</f>
        <v> </v>
      </c>
      <c r="DG46" s="27" t="str">
        <f>IF(DG45=0," ",IF(DG45&lt;31,TRUNC(5.74352*(28.5-DG45*DG$82)^1.92)," "))</f>
        <v> </v>
      </c>
      <c r="DH46" s="27" t="str">
        <f>IF(DH45&gt;3.7,TRUNC(12.91*(DH45*DH$82-4)^1.1)," ")</f>
        <v> </v>
      </c>
      <c r="DI46" s="27" t="str">
        <f>IF(DI45&gt;69,TRUNC(0.2797*(DI45*DI$82-100)^1.35)," ")</f>
        <v> </v>
      </c>
      <c r="DJ46" s="27" t="str">
        <f>IF(DJ45&gt;4.8,TRUNC(10.14*(DJ45*DJ$82-7)^1.08)," ")</f>
        <v> </v>
      </c>
      <c r="DK46" s="58" t="str">
        <f>IF(DK45=0," ",IF(DK45&lt;604.36,TRUNC(0.03768*(480-DK45*DK$82)^1.85)," "))</f>
        <v> </v>
      </c>
      <c r="DM46" s="29">
        <f>SUM(DB46:DK46)</f>
        <v>0</v>
      </c>
      <c r="DN46" s="77" t="s">
        <v>34</v>
      </c>
      <c r="DO46" s="40" t="str">
        <f>IF(DO45=0," ",IF(DO45&lt;21.7,TRUNC(25.4347*(18-DO45*DO$82)^1.81)," "))</f>
        <v> </v>
      </c>
      <c r="DP46" s="27" t="str">
        <f>IF(DP45&gt;155,TRUNC(0.14354*(DP45*DP$82-220)^1.4)," ")</f>
        <v> </v>
      </c>
      <c r="DQ46" s="27" t="str">
        <f>IF(DQ45&gt;1.2,TRUNC(51.39*(DQ45*DQ$82-1.5)^1.05)," ")</f>
        <v> </v>
      </c>
      <c r="DR46" s="27" t="str">
        <f>IF(DR45&gt;55,TRUNC(0.84565*(DR45*DR$82-75)^1.42)," ")</f>
        <v> </v>
      </c>
      <c r="DS46" s="27" t="str">
        <f>IF(DS45=0," ",IF(DS45&lt;99.46,TRUNC(1.53775*(82-DS45*DS$82)^1.81)," "))</f>
        <v> </v>
      </c>
      <c r="DT46" s="27" t="str">
        <f>IF(DT45=0," ",IF(DT45&lt;31,TRUNC(5.74352*(28.5-DT45*DT$82)^1.92)," "))</f>
        <v> </v>
      </c>
      <c r="DU46" s="27" t="str">
        <f>IF(DU45&gt;3.7,TRUNC(12.91*(DU45*DU$82-4)^1.1)," ")</f>
        <v> </v>
      </c>
      <c r="DV46" s="27" t="str">
        <f>IF(DV45&gt;69,TRUNC(0.2797*(DV45*DV$82-100)^1.35)," ")</f>
        <v> </v>
      </c>
      <c r="DW46" s="27" t="str">
        <f>IF(DW45&gt;4.8,TRUNC(10.14*(DW45*DW$82-7)^1.08)," ")</f>
        <v> </v>
      </c>
      <c r="DX46" s="58" t="str">
        <f>IF(DX45=0," ",IF(DX45&lt;604.36,TRUNC(0.03768*(480-DX45*DX$82)^1.85)," "))</f>
        <v> </v>
      </c>
      <c r="DZ46" s="29">
        <f>SUM(DO46:DX46)</f>
        <v>0</v>
      </c>
      <c r="EA46" s="77" t="s">
        <v>34</v>
      </c>
      <c r="EB46" s="40" t="str">
        <f>IF(EB45=0," ",IF(EB45&lt;21.7,TRUNC(25.4347*(18-EB45*EB$82)^1.81)," "))</f>
        <v> </v>
      </c>
      <c r="EC46" s="27" t="str">
        <f>IF(EC45&gt;155,TRUNC(0.14354*(EC45*EC$82-220)^1.4)," ")</f>
        <v> </v>
      </c>
      <c r="ED46" s="27" t="str">
        <f>IF(ED45&gt;1.2,TRUNC(51.39*(ED45*ED$82-1.5)^1.05)," ")</f>
        <v> </v>
      </c>
      <c r="EE46" s="27" t="str">
        <f>IF(EE45&gt;55,TRUNC(0.84565*(EE45*EE$82-75)^1.42)," ")</f>
        <v> </v>
      </c>
      <c r="EF46" s="27" t="str">
        <f>IF(EF45=0," ",IF(EF45&lt;99.46,TRUNC(1.53775*(82-EF45*EF$82)^1.81)," "))</f>
        <v> </v>
      </c>
      <c r="EG46" s="27" t="str">
        <f>IF(EG45=0," ",IF(EG45&lt;31,TRUNC(5.74352*(28.5-EG45*EG$82)^1.92)," "))</f>
        <v> </v>
      </c>
      <c r="EH46" s="27" t="str">
        <f>IF(EH45&gt;3.7,TRUNC(12.91*(EH45*EH$82-4)^1.1)," ")</f>
        <v> </v>
      </c>
      <c r="EI46" s="27" t="str">
        <f>IF(EI45&gt;69,TRUNC(0.2797*(EI45*EI$82-100)^1.35)," ")</f>
        <v> </v>
      </c>
      <c r="EJ46" s="27" t="str">
        <f>IF(EJ45&gt;4.8,TRUNC(10.14*(EJ45*EJ$82-7)^1.08)," ")</f>
        <v> </v>
      </c>
      <c r="EK46" s="58" t="str">
        <f>IF(EK45=0," ",IF(EK45&lt;604.36,TRUNC(0.03768*(480-EK45*EK$82)^1.85)," "))</f>
        <v> </v>
      </c>
      <c r="EM46" s="29">
        <f>SUM(EB46:EK46)</f>
        <v>0</v>
      </c>
      <c r="EN46" s="77" t="s">
        <v>34</v>
      </c>
      <c r="EO46" s="40" t="str">
        <f>IF(EO45=0," ",IF(EO45&lt;21.7,TRUNC(25.4347*(18-EO45*EO$82)^1.81)," "))</f>
        <v> </v>
      </c>
      <c r="EP46" s="27" t="str">
        <f>IF(EP45&gt;155,TRUNC(0.14354*(EP45*EP$82-220)^1.4)," ")</f>
        <v> </v>
      </c>
      <c r="EQ46" s="27" t="str">
        <f>IF(EQ45&gt;1.2,TRUNC(51.39*(EQ45*EQ$82-1.5)^1.05)," ")</f>
        <v> </v>
      </c>
      <c r="ER46" s="27" t="str">
        <f>IF(ER45&gt;55,TRUNC(0.84565*(ER45*ER$82-75)^1.42)," ")</f>
        <v> </v>
      </c>
      <c r="ES46" s="27" t="str">
        <f>IF(ES45=0," ",IF(ES45&lt;99.46,TRUNC(1.53775*(82-ES45*ES$82)^1.81)," "))</f>
        <v> </v>
      </c>
      <c r="ET46" s="27" t="str">
        <f>IF(ET45=0," ",IF(ET45&lt;31,TRUNC(5.74352*(28.5-ET45*ET$82)^1.92)," "))</f>
        <v> </v>
      </c>
      <c r="EU46" s="27" t="str">
        <f>IF(EU45&gt;3.7,TRUNC(12.91*(EU45*EU$82-4)^1.1)," ")</f>
        <v> </v>
      </c>
      <c r="EV46" s="27" t="str">
        <f>IF(EV45&gt;69,TRUNC(0.2797*(EV45*EV$82-100)^1.35)," ")</f>
        <v> </v>
      </c>
      <c r="EW46" s="27" t="str">
        <f>IF(EW45&gt;4.8,TRUNC(10.14*(EW45*EW$82-7)^1.08)," ")</f>
        <v> </v>
      </c>
      <c r="EX46" s="58" t="str">
        <f>IF(EX45=0," ",IF(EX45&lt;604.36,TRUNC(0.03768*(480-EX45*EX$82)^1.85)," "))</f>
        <v> </v>
      </c>
      <c r="EZ46" s="29">
        <f>SUM(EO46:EX46)</f>
        <v>0</v>
      </c>
      <c r="FA46" s="77" t="s">
        <v>34</v>
      </c>
      <c r="FB46" s="40" t="str">
        <f>IF(FB45=0," ",IF(FB45&lt;21.7,TRUNC(25.4347*(18-FB45*FB$82)^1.81)," "))</f>
        <v> </v>
      </c>
      <c r="FC46" s="27" t="str">
        <f>IF(FC45&gt;155,TRUNC(0.14354*(FC45*FC$82-220)^1.4)," ")</f>
        <v> </v>
      </c>
      <c r="FD46" s="27" t="str">
        <f>IF(FD45&gt;1.2,TRUNC(51.39*(FD45*FD$82-1.5)^1.05)," ")</f>
        <v> </v>
      </c>
      <c r="FE46" s="27" t="str">
        <f>IF(FE45&gt;55,TRUNC(0.84565*(FE45*FE$82-75)^1.42)," ")</f>
        <v> </v>
      </c>
      <c r="FF46" s="27" t="str">
        <f>IF(FF45=0," ",IF(FF45&lt;99.46,TRUNC(1.53775*(82-FF45*FF$82)^1.81)," "))</f>
        <v> </v>
      </c>
      <c r="FG46" s="27" t="str">
        <f>IF(FG45=0," ",IF(FG45&lt;31,TRUNC(5.74352*(28.5-FG45*FG$82)^1.92)," "))</f>
        <v> </v>
      </c>
      <c r="FH46" s="27" t="str">
        <f>IF(FH45&gt;3.7,TRUNC(12.91*(FH45*FH$82-4)^1.1)," ")</f>
        <v> </v>
      </c>
      <c r="FI46" s="27" t="str">
        <f>IF(FI45&gt;69,TRUNC(0.2797*(FI45*FI$82-100)^1.35)," ")</f>
        <v> </v>
      </c>
      <c r="FJ46" s="27" t="str">
        <f>IF(FJ45&gt;4.8,TRUNC(10.14*(FJ45*FJ$82-7)^1.08)," ")</f>
        <v> </v>
      </c>
      <c r="FK46" s="58" t="str">
        <f>IF(FK45=0," ",IF(FK45&lt;604.36,TRUNC(0.03768*(480-FK45*FK$82)^1.85)," "))</f>
        <v> </v>
      </c>
      <c r="FM46" s="29">
        <f>SUM(FB46:FK46)</f>
        <v>0</v>
      </c>
      <c r="FN46" s="77" t="s">
        <v>34</v>
      </c>
      <c r="FO46" s="40" t="str">
        <f>IF(FO45=0," ",IF(FO45&lt;21.7,TRUNC(25.4347*(18-FO45*FO$82)^1.81)," "))</f>
        <v> </v>
      </c>
      <c r="FP46" s="27" t="str">
        <f>IF(FP45&gt;155,TRUNC(0.14354*(FP45*FP$82-220)^1.4)," ")</f>
        <v> </v>
      </c>
      <c r="FQ46" s="27" t="str">
        <f>IF(FQ45&gt;1.2,TRUNC(51.39*(FQ45*FQ$82-1.5)^1.05)," ")</f>
        <v> </v>
      </c>
      <c r="FR46" s="27" t="str">
        <f>IF(FR45&gt;55,TRUNC(0.84565*(FR45*FR$82-75)^1.42)," ")</f>
        <v> </v>
      </c>
      <c r="FS46" s="27" t="str">
        <f>IF(FS45=0," ",IF(FS45&lt;99.46,TRUNC(1.53775*(82-FS45*FS$82)^1.81)," "))</f>
        <v> </v>
      </c>
      <c r="FT46" s="27" t="str">
        <f>IF(FT45=0," ",IF(FT45&lt;31,TRUNC(5.74352*(28.5-FT45*FT$82)^1.92)," "))</f>
        <v> </v>
      </c>
      <c r="FU46" s="27" t="str">
        <f>IF(FU45&gt;3.7,TRUNC(12.91*(FU45*FU$82-4)^1.1)," ")</f>
        <v> </v>
      </c>
      <c r="FV46" s="27" t="str">
        <f>IF(FV45&gt;69,TRUNC(0.2797*(FV45*FV$82-100)^1.35)," ")</f>
        <v> </v>
      </c>
      <c r="FW46" s="27" t="str">
        <f>IF(FW45&gt;4.8,TRUNC(10.14*(FW45*FW$82-7)^1.08)," ")</f>
        <v> </v>
      </c>
      <c r="FX46" s="58" t="str">
        <f>IF(FX45=0," ",IF(FX45&lt;604.36,TRUNC(0.03768*(480-FX45*FX$82)^1.85)," "))</f>
        <v> </v>
      </c>
      <c r="FZ46" s="29">
        <f>SUM(FO46:FX46)</f>
        <v>0</v>
      </c>
      <c r="GA46" s="77" t="s">
        <v>34</v>
      </c>
      <c r="GB46" s="40" t="str">
        <f>IF(GB45=0," ",IF(GB45&lt;21.7,TRUNC(25.4347*(18-GB45*GB$82)^1.81)," "))</f>
        <v> </v>
      </c>
      <c r="GC46" s="27" t="str">
        <f>IF(GC45&gt;155,TRUNC(0.14354*(GC45*GC$82-220)^1.4)," ")</f>
        <v> </v>
      </c>
      <c r="GD46" s="27" t="str">
        <f>IF(GD45&gt;1.2,TRUNC(51.39*(GD45*GD$82-1.5)^1.05)," ")</f>
        <v> </v>
      </c>
      <c r="GE46" s="27" t="str">
        <f>IF(GE45&gt;55,TRUNC(0.84565*(GE45*GE$82-75)^1.42)," ")</f>
        <v> </v>
      </c>
      <c r="GF46" s="27" t="str">
        <f>IF(GF45=0," ",IF(GF45&lt;99.46,TRUNC(1.53775*(82-GF45*GF$82)^1.81)," "))</f>
        <v> </v>
      </c>
      <c r="GG46" s="27" t="str">
        <f>IF(GG45=0," ",IF(GG45&lt;31,TRUNC(5.74352*(28.5-GG45*GG$82)^1.92)," "))</f>
        <v> </v>
      </c>
      <c r="GH46" s="27" t="str">
        <f>IF(GH45&gt;3.7,TRUNC(12.91*(GH45*GH$82-4)^1.1)," ")</f>
        <v> </v>
      </c>
      <c r="GI46" s="27" t="str">
        <f>IF(GI45&gt;69,TRUNC(0.2797*(GI45*GI$82-100)^1.35)," ")</f>
        <v> </v>
      </c>
      <c r="GJ46" s="27" t="str">
        <f>IF(GJ45&gt;4.8,TRUNC(10.14*(GJ45*GJ$82-7)^1.08)," ")</f>
        <v> </v>
      </c>
      <c r="GK46" s="58" t="str">
        <f>IF(GK45=0," ",IF(GK45&lt;604.36,TRUNC(0.03768*(480-GK45*GK$82)^1.85)," "))</f>
        <v> </v>
      </c>
      <c r="GM46" s="29">
        <f>SUM(GB46:GK46)</f>
        <v>0</v>
      </c>
      <c r="GN46" s="77" t="s">
        <v>34</v>
      </c>
      <c r="GO46" s="40" t="str">
        <f>IF(GO45=0," ",IF(GO45&lt;21.7,TRUNC(25.4347*(18-GO45*GO$82)^1.81)," "))</f>
        <v> </v>
      </c>
      <c r="GP46" s="27" t="str">
        <f>IF(GP45&gt;155,TRUNC(0.14354*(GP45*GP$82-220)^1.4)," ")</f>
        <v> </v>
      </c>
      <c r="GQ46" s="27" t="str">
        <f>IF(GQ45&gt;1.2,TRUNC(51.39*(GQ45*GQ$82-1.5)^1.05)," ")</f>
        <v> </v>
      </c>
      <c r="GR46" s="27" t="str">
        <f>IF(GR45&gt;55,TRUNC(0.84565*(GR45*GR$82-75)^1.42)," ")</f>
        <v> </v>
      </c>
      <c r="GS46" s="27" t="str">
        <f>IF(GS45=0," ",IF(GS45&lt;99.46,TRUNC(1.53775*(82-GS45*GS$82)^1.81)," "))</f>
        <v> </v>
      </c>
      <c r="GT46" s="27" t="str">
        <f>IF(GT45=0," ",IF(GT45&lt;31,TRUNC(5.74352*(28.5-GT45*GT$82)^1.92)," "))</f>
        <v> </v>
      </c>
      <c r="GU46" s="27" t="str">
        <f>IF(GU45&gt;3.7,TRUNC(12.91*(GU45*GU$82-4)^1.1)," ")</f>
        <v> </v>
      </c>
      <c r="GV46" s="27" t="str">
        <f>IF(GV45&gt;69,TRUNC(0.2797*(GV45*GV$82-100)^1.35)," ")</f>
        <v> </v>
      </c>
      <c r="GW46" s="27" t="str">
        <f>IF(GW45&gt;4.8,TRUNC(10.14*(GW45*GW$82-7)^1.08)," ")</f>
        <v> </v>
      </c>
      <c r="GX46" s="58" t="str">
        <f>IF(GX45=0," ",IF(GX45&lt;604.36,TRUNC(0.03768*(480-GX45*GX$82)^1.85)," "))</f>
        <v> </v>
      </c>
      <c r="GZ46" s="29">
        <f>SUM(GO46:GX46)</f>
        <v>0</v>
      </c>
      <c r="HA46" s="77" t="s">
        <v>34</v>
      </c>
      <c r="HB46" s="40" t="str">
        <f>IF(HB45=0," ",IF(HB45&lt;21.7,TRUNC(25.4347*(18-HB45*HB$82)^1.81)," "))</f>
        <v> </v>
      </c>
      <c r="HC46" s="27" t="str">
        <f>IF(HC45&gt;155,TRUNC(0.14354*(HC45*HC$82-220)^1.4)," ")</f>
        <v> </v>
      </c>
      <c r="HD46" s="27" t="str">
        <f>IF(HD45&gt;1.2,TRUNC(51.39*(HD45*HD$82-1.5)^1.05)," ")</f>
        <v> </v>
      </c>
      <c r="HE46" s="27" t="str">
        <f>IF(HE45&gt;55,TRUNC(0.84565*(HE45*HE$82-75)^1.42)," ")</f>
        <v> </v>
      </c>
      <c r="HF46" s="27" t="str">
        <f>IF(HF45=0," ",IF(HF45&lt;99.46,TRUNC(1.53775*(82-HF45*HF$82)^1.81)," "))</f>
        <v> </v>
      </c>
      <c r="HG46" s="27" t="str">
        <f>IF(HG45=0," ",IF(HG45&lt;31,TRUNC(5.74352*(28.5-HG45*HG$82)^1.92)," "))</f>
        <v> </v>
      </c>
      <c r="HH46" s="27" t="str">
        <f>IF(HH45&gt;3.7,TRUNC(12.91*(HH45*HH$82-4)^1.1)," ")</f>
        <v> </v>
      </c>
      <c r="HI46" s="27" t="str">
        <f>IF(HI45&gt;69,TRUNC(0.2797*(HI45*HI$82-100)^1.35)," ")</f>
        <v> </v>
      </c>
      <c r="HJ46" s="27" t="str">
        <f>IF(HJ45&gt;4.8,TRUNC(10.14*(HJ45*HJ$82-7)^1.08)," ")</f>
        <v> </v>
      </c>
      <c r="HK46" s="58" t="str">
        <f>IF(HK45=0," ",IF(HK45&lt;604.36,TRUNC(0.03768*(480-HK45*HK$82)^1.85)," "))</f>
        <v> </v>
      </c>
      <c r="HM46" s="29">
        <f>SUM(HB46:HK46)</f>
        <v>0</v>
      </c>
      <c r="HN46" s="77" t="s">
        <v>34</v>
      </c>
      <c r="HO46" s="40" t="str">
        <f>IF(HO45=0," ",IF(HO45&lt;21.7,TRUNC(25.4347*(18-HO45*HO$82)^1.81)," "))</f>
        <v> </v>
      </c>
      <c r="HP46" s="27" t="str">
        <f>IF(HP45&gt;155,TRUNC(0.14354*(HP45*HP$82-220)^1.4)," ")</f>
        <v> </v>
      </c>
      <c r="HQ46" s="27" t="str">
        <f>IF(HQ45&gt;1.2,TRUNC(51.39*(HQ45*HQ$82-1.5)^1.05)," ")</f>
        <v> </v>
      </c>
      <c r="HR46" s="27" t="str">
        <f>IF(HR45&gt;55,TRUNC(0.84565*(HR45*HR$82-75)^1.42)," ")</f>
        <v> </v>
      </c>
      <c r="HS46" s="27" t="str">
        <f>IF(HS45=0," ",IF(HS45&lt;99.46,TRUNC(1.53775*(82-HS45*HS$82)^1.81)," "))</f>
        <v> </v>
      </c>
      <c r="HT46" s="27" t="str">
        <f>IF(HT45=0," ",IF(HT45&lt;31,TRUNC(5.74352*(28.5-HT45*HT$82)^1.92)," "))</f>
        <v> </v>
      </c>
      <c r="HU46" s="27" t="str">
        <f>IF(HU45&gt;3.7,TRUNC(12.91*(HU45*HU$82-4)^1.1)," ")</f>
        <v> </v>
      </c>
      <c r="HV46" s="27" t="str">
        <f>IF(HV45&gt;69,TRUNC(0.2797*(HV45*HV$82-100)^1.35)," ")</f>
        <v> </v>
      </c>
      <c r="HW46" s="27" t="str">
        <f>IF(HW45&gt;4.8,TRUNC(10.14*(HW45*HW$82-7)^1.08)," ")</f>
        <v> </v>
      </c>
      <c r="HX46" s="58" t="str">
        <f>IF(HX45=0," ",IF(HX45&lt;604.36,TRUNC(0.03768*(480-HX45*HX$82)^1.85)," "))</f>
        <v> </v>
      </c>
      <c r="HZ46" s="29">
        <f>SUM(HO46:HX46)</f>
        <v>0</v>
      </c>
      <c r="IA46" s="77" t="s">
        <v>34</v>
      </c>
      <c r="IB46" s="40" t="str">
        <f>IF(IB45=0," ",IF(IB45&lt;21.7,TRUNC(25.4347*(18-IB45*IB$82)^1.81)," "))</f>
        <v> </v>
      </c>
      <c r="IC46" s="27" t="str">
        <f>IF(IC45&gt;155,TRUNC(0.14354*(IC45*IC$82-220)^1.4)," ")</f>
        <v> </v>
      </c>
      <c r="ID46" s="27" t="str">
        <f>IF(ID45&gt;1.2,TRUNC(51.39*(ID45*ID$82-1.5)^1.05)," ")</f>
        <v> </v>
      </c>
      <c r="IE46" s="27" t="str">
        <f>IF(IE45&gt;55,TRUNC(0.84565*(IE45*IE$82-75)^1.42)," ")</f>
        <v> </v>
      </c>
      <c r="IF46" s="27" t="str">
        <f>IF(IF45=0," ",IF(IF45&lt;99.46,TRUNC(1.53775*(82-IF45*IF$82)^1.81)," "))</f>
        <v> </v>
      </c>
      <c r="IG46" s="27" t="str">
        <f>IF(IG45=0," ",IF(IG45&lt;31,TRUNC(5.74352*(28.5-IG45*IG$82)^1.92)," "))</f>
        <v> </v>
      </c>
      <c r="IH46" s="27" t="str">
        <f>IF(IH45&gt;3.7,TRUNC(12.91*(IH45*IH$82-4)^1.1)," ")</f>
        <v> </v>
      </c>
      <c r="II46" s="27" t="str">
        <f>IF(II45&gt;69,TRUNC(0.2797*(II45*II$82-100)^1.35)," ")</f>
        <v> </v>
      </c>
      <c r="IJ46" s="27" t="str">
        <f>IF(IJ45&gt;4.8,TRUNC(10.14*(IJ45*IJ$82-7)^1.08)," ")</f>
        <v> </v>
      </c>
      <c r="IK46" s="58" t="str">
        <f>IF(IK45=0," ",IF(IK45&lt;604.36,TRUNC(0.03768*(480-IK45*IK$82)^1.85)," "))</f>
        <v> </v>
      </c>
      <c r="IM46" s="29">
        <f>SUM(IB46:IK46)</f>
        <v>0</v>
      </c>
      <c r="IN46" s="77" t="s">
        <v>34</v>
      </c>
      <c r="IO46" s="40" t="str">
        <f>IF(IO45=0," ",IF(IO45&lt;21.7,TRUNC(25.4347*(18-IO45*IO$82)^1.81)," "))</f>
        <v> </v>
      </c>
      <c r="IP46" s="27" t="str">
        <f>IF(IP45&gt;155,TRUNC(0.14354*(IP45*IP$82-220)^1.4)," ")</f>
        <v> </v>
      </c>
      <c r="IQ46" s="27" t="str">
        <f>IF(IQ45&gt;1.2,TRUNC(51.39*(IQ45*IQ$82-1.5)^1.05)," ")</f>
        <v> </v>
      </c>
      <c r="IR46" s="27" t="str">
        <f>IF(IR45&gt;55,TRUNC(0.84565*(IR45*IR$82-75)^1.42)," ")</f>
        <v> </v>
      </c>
      <c r="IS46" s="27" t="str">
        <f>IF(IS45=0," ",IF(IS45&lt;99.46,TRUNC(1.53775*(82-IS45*IS$82)^1.81)," "))</f>
        <v> </v>
      </c>
      <c r="IT46" s="27" t="str">
        <f>IF(IT45=0," ",IF(IT45&lt;31,TRUNC(5.74352*(28.5-IT45*IT$82)^1.92)," "))</f>
        <v> </v>
      </c>
      <c r="IU46" s="27" t="str">
        <f>IF(IU45&gt;3.7,TRUNC(12.91*(IU45*IU$82-4)^1.1)," ")</f>
        <v> </v>
      </c>
      <c r="IV46" s="27" t="str">
        <f>IF(IV45&gt;69,TRUNC(0.2797*(IV45*IV$82-100)^1.35)," ")</f>
        <v> </v>
      </c>
    </row>
    <row r="47" spans="1:18" s="2" customFormat="1" ht="23.25" customHeight="1">
      <c r="A47" s="17" t="s">
        <v>122</v>
      </c>
      <c r="B47" s="18">
        <v>16.96</v>
      </c>
      <c r="C47" s="74">
        <v>332</v>
      </c>
      <c r="D47" s="75">
        <v>8.23</v>
      </c>
      <c r="E47" s="74">
        <v>110</v>
      </c>
      <c r="F47" s="75">
        <v>87.8</v>
      </c>
      <c r="G47" s="75"/>
      <c r="H47" s="75">
        <v>21.71</v>
      </c>
      <c r="I47" s="74"/>
      <c r="J47" s="75">
        <v>18.45</v>
      </c>
      <c r="K47" s="75"/>
      <c r="L47" s="234"/>
      <c r="M47" s="23"/>
      <c r="N47" s="8" t="s">
        <v>154</v>
      </c>
      <c r="O47" s="3"/>
      <c r="P47" s="197">
        <f>100*P48/M48</f>
        <v>20.30134813639968</v>
      </c>
      <c r="Q47" s="203">
        <f>100*Q48/M48</f>
        <v>31.60190325138779</v>
      </c>
      <c r="R47" s="204">
        <f>100*R48/M48</f>
        <v>48.09674861221253</v>
      </c>
    </row>
    <row r="48" spans="1:18" s="52" customFormat="1" ht="23.25" customHeight="1">
      <c r="A48" s="77" t="s">
        <v>120</v>
      </c>
      <c r="B48" s="88">
        <f>IF(B47=0," ",IF(B47&lt;21.7,TRUNC(25.4347*(18-B47*B$83)^1.81)," "))</f>
        <v>348</v>
      </c>
      <c r="C48" s="89">
        <f>IF(C47&gt;155,TRUNC(0.14354*(C47*C$83-220)^1.4)," ")</f>
        <v>390</v>
      </c>
      <c r="D48" s="89">
        <f>IF(D47&gt;1.2,TRUNC(51.39*(D47*D$83-1.5)^1.05)," ")</f>
        <v>558</v>
      </c>
      <c r="E48" s="89">
        <f>IF(E47&gt;55,TRUNC(0.84565*(E47*E$83-75)^1.42)," ")</f>
        <v>407</v>
      </c>
      <c r="F48" s="89">
        <f>IF(F47=0," ",IF(F47&lt;105,TRUNC(1.53775*(82-F47*F$83)^1.81)," "))</f>
        <v>164</v>
      </c>
      <c r="G48" s="89" t="str">
        <f>IF(G47=0," ",IF(G47&lt;31,TRUNC(5.74352*(28.5-G47*G$83)^1.92)," "))</f>
        <v> </v>
      </c>
      <c r="H48" s="89">
        <f>IF(H47&gt;3.7,TRUNC(12.91*(H47*H$83-4)^1.1)," ")</f>
        <v>372</v>
      </c>
      <c r="I48" s="89" t="str">
        <f>IF(I47&gt;69,TRUNC(0.2797*(I47*I$83-100)^1.35)," ")</f>
        <v> </v>
      </c>
      <c r="J48" s="89">
        <f>IF(J47&gt;4.8,TRUNC(10.14*(J47*J$83-7)^1.08)," ")</f>
        <v>283</v>
      </c>
      <c r="K48" s="89" t="str">
        <f>IF(K47=0," ",IF(K47&lt;604.36,TRUNC(0.03768*(480-K47*K$83)^1.85)," "))</f>
        <v> </v>
      </c>
      <c r="L48" s="228"/>
      <c r="M48" s="29">
        <f>SUM(B48:K48)</f>
        <v>2522</v>
      </c>
      <c r="N48" s="30"/>
      <c r="O48" s="31">
        <f>MAX(B48:K48)</f>
        <v>558</v>
      </c>
      <c r="P48" s="198">
        <f>SUM(B48,F48,G48,K48)</f>
        <v>512</v>
      </c>
      <c r="Q48" s="205">
        <f>SUM(C48,E48,I48)</f>
        <v>797</v>
      </c>
      <c r="R48" s="206">
        <f>SUM(D48,H48,J48)</f>
        <v>1213</v>
      </c>
    </row>
    <row r="49" spans="1:18" s="2" customFormat="1" ht="23.25" customHeight="1">
      <c r="A49" s="17" t="s">
        <v>106</v>
      </c>
      <c r="B49" s="18"/>
      <c r="C49" s="74"/>
      <c r="D49" s="75">
        <v>7.51</v>
      </c>
      <c r="E49" s="74"/>
      <c r="F49" s="75"/>
      <c r="G49" s="75"/>
      <c r="H49" s="75">
        <v>16.26</v>
      </c>
      <c r="I49" s="74"/>
      <c r="J49" s="75">
        <v>19.49</v>
      </c>
      <c r="K49" s="75"/>
      <c r="L49" s="234"/>
      <c r="M49" s="23"/>
      <c r="N49" s="8" t="s">
        <v>155</v>
      </c>
      <c r="O49" s="3"/>
      <c r="P49" s="197">
        <f>100*P50/M50</f>
        <v>0</v>
      </c>
      <c r="Q49" s="203">
        <f>100*Q50/M50</f>
        <v>0</v>
      </c>
      <c r="R49" s="204">
        <f>100*R50/M50</f>
        <v>100</v>
      </c>
    </row>
    <row r="50" spans="1:18" s="52" customFormat="1" ht="23.25" customHeight="1">
      <c r="A50" s="77" t="s">
        <v>120</v>
      </c>
      <c r="B50" s="88" t="str">
        <f>IF(B49=0," ",IF(B49&lt;21.7,TRUNC(25.4347*(18-B49*B$83)^1.81)," "))</f>
        <v> </v>
      </c>
      <c r="C50" s="89" t="str">
        <f>IF(C49&gt;155,TRUNC(0.14354*(C49*C$83-220)^1.4)," ")</f>
        <v> </v>
      </c>
      <c r="D50" s="89">
        <f>IF(D49&gt;1.2,TRUNC(51.39*(D49*D$83-1.5)^1.05)," ")</f>
        <v>499</v>
      </c>
      <c r="E50" s="89" t="str">
        <f>IF(E49&gt;55,TRUNC(0.84565*(E49*E$83-75)^1.42)," ")</f>
        <v> </v>
      </c>
      <c r="F50" s="89" t="str">
        <f>IF(F49=0," ",IF(F49&lt;105,TRUNC(1.53775*(82-F49*F$83)^1.81)," "))</f>
        <v> </v>
      </c>
      <c r="G50" s="89" t="str">
        <f>IF(G49=0," ",IF(G49&lt;31,TRUNC(5.74352*(28.5-G49*G$83)^1.92)," "))</f>
        <v> </v>
      </c>
      <c r="H50" s="89">
        <f>IF(H49&gt;3.7,TRUNC(12.91*(H49*H$83-4)^1.1)," ")</f>
        <v>252</v>
      </c>
      <c r="I50" s="89" t="str">
        <f>IF(I49&gt;69,TRUNC(0.2797*(I49*I$83-100)^1.35)," ")</f>
        <v> </v>
      </c>
      <c r="J50" s="89">
        <f>IF(J49&gt;4.8,TRUNC(10.14*(J49*J$83-7)^1.08)," ")</f>
        <v>305</v>
      </c>
      <c r="K50" s="89" t="str">
        <f>IF(K49=0," ",IF(K49&lt;604.36,TRUNC(0.03768*(480-K49*K$83)^1.85)," "))</f>
        <v> </v>
      </c>
      <c r="L50" s="228"/>
      <c r="M50" s="29">
        <f>SUM(B50:K50)</f>
        <v>1056</v>
      </c>
      <c r="N50" s="30"/>
      <c r="O50" s="31">
        <f>MAX(B50:K50)</f>
        <v>499</v>
      </c>
      <c r="P50" s="198">
        <f>SUM(B50,F50,G50,K50)</f>
        <v>0</v>
      </c>
      <c r="Q50" s="205">
        <f>SUM(C50,E50,I50)</f>
        <v>0</v>
      </c>
      <c r="R50" s="206">
        <f>SUM(D50,H50,J50)</f>
        <v>1056</v>
      </c>
    </row>
    <row r="51" spans="1:18" s="2" customFormat="1" ht="23.25" customHeight="1">
      <c r="A51" s="17" t="s">
        <v>36</v>
      </c>
      <c r="B51" s="18"/>
      <c r="C51" s="74"/>
      <c r="D51" s="75"/>
      <c r="E51" s="74"/>
      <c r="F51" s="75"/>
      <c r="G51" s="75"/>
      <c r="H51" s="75"/>
      <c r="I51" s="74"/>
      <c r="J51" s="75"/>
      <c r="K51" s="75"/>
      <c r="L51" s="232"/>
      <c r="M51" s="23"/>
      <c r="N51" s="8"/>
      <c r="O51" s="3"/>
      <c r="P51" s="197" t="e">
        <f>100*P52/M52</f>
        <v>#DIV/0!</v>
      </c>
      <c r="Q51" s="203" t="e">
        <f>100*Q52/M52</f>
        <v>#DIV/0!</v>
      </c>
      <c r="R51" s="204" t="e">
        <f>100*R52/M52</f>
        <v>#DIV/0!</v>
      </c>
    </row>
    <row r="52" spans="1:18" s="28" customFormat="1" ht="23.25" customHeight="1">
      <c r="A52" s="77" t="s">
        <v>120</v>
      </c>
      <c r="B52" s="88" t="str">
        <f>IF(B51=0," ",IF(B51&lt;21.7,TRUNC(25.4347*(18-B51*B$83)^1.81)," "))</f>
        <v> </v>
      </c>
      <c r="C52" s="89" t="str">
        <f>IF(C51&gt;155,TRUNC(0.14354*(C51*C$83-220)^1.4)," ")</f>
        <v> </v>
      </c>
      <c r="D52" s="89" t="str">
        <f>IF(D51&gt;1.2,TRUNC(51.39*(D51*D$83-1.5)^1.05)," ")</f>
        <v> </v>
      </c>
      <c r="E52" s="89" t="str">
        <f>IF(E51&gt;55,TRUNC(0.84565*(E51*E$83-75)^1.42)," ")</f>
        <v> </v>
      </c>
      <c r="F52" s="89" t="str">
        <f>IF(F51=0," ",IF(F51&lt;105,TRUNC(1.53775*(82-F51*F$83)^1.81)," "))</f>
        <v> </v>
      </c>
      <c r="G52" s="89" t="str">
        <f>IF(G51=0," ",IF(G51&lt;31,TRUNC(5.74352*(28.5-G51*G$83)^1.92)," "))</f>
        <v> </v>
      </c>
      <c r="H52" s="89" t="str">
        <f>IF(H51&gt;3.7,TRUNC(12.91*(H51*H$83-4)^1.1)," ")</f>
        <v> </v>
      </c>
      <c r="I52" s="89" t="str">
        <f>IF(I51&gt;69,TRUNC(0.2797*(I51*I$83-100)^1.35)," ")</f>
        <v> </v>
      </c>
      <c r="J52" s="89" t="str">
        <f>IF(J51&gt;4.8,TRUNC(10.14*(J51*J$83-7)^1.08)," ")</f>
        <v> </v>
      </c>
      <c r="K52" s="89" t="str">
        <f>IF(K51=0," ",IF(K51&lt;604.36,TRUNC(0.03768*(480-K51*K$83)^1.85)," "))</f>
        <v> </v>
      </c>
      <c r="L52" s="228"/>
      <c r="M52" s="29">
        <f>SUM(B52:K52)</f>
        <v>0</v>
      </c>
      <c r="N52" s="30"/>
      <c r="O52" s="31">
        <f>MAX(B52:K52)</f>
        <v>0</v>
      </c>
      <c r="P52" s="198">
        <f>SUM(B52,F52,G52,K52)</f>
        <v>0</v>
      </c>
      <c r="Q52" s="205">
        <f>SUM(C52,E52,I52)</f>
        <v>0</v>
      </c>
      <c r="R52" s="206">
        <f>SUM(D52,H52,J52)</f>
        <v>0</v>
      </c>
    </row>
    <row r="53" spans="1:18" s="2" customFormat="1" ht="23.25" customHeight="1">
      <c r="A53" s="17" t="s">
        <v>37</v>
      </c>
      <c r="B53" s="18">
        <v>22</v>
      </c>
      <c r="C53" s="74">
        <v>226</v>
      </c>
      <c r="D53" s="75">
        <v>7.48</v>
      </c>
      <c r="E53" s="74">
        <v>90</v>
      </c>
      <c r="F53" s="75"/>
      <c r="G53" s="75"/>
      <c r="H53" s="75">
        <v>19.77</v>
      </c>
      <c r="I53" s="74">
        <v>150</v>
      </c>
      <c r="J53" s="75">
        <v>22.26</v>
      </c>
      <c r="K53" s="75"/>
      <c r="L53" s="234"/>
      <c r="M53" s="23"/>
      <c r="N53" s="8" t="s">
        <v>149</v>
      </c>
      <c r="O53" s="3"/>
      <c r="P53" s="197">
        <f>100*P54/M54</f>
        <v>0</v>
      </c>
      <c r="Q53" s="203">
        <f>100*Q54/M54</f>
        <v>28.677462887989204</v>
      </c>
      <c r="R53" s="204">
        <f>100*R54/M54</f>
        <v>71.32253711201079</v>
      </c>
    </row>
    <row r="54" spans="1:18" s="52" customFormat="1" ht="23.25" customHeight="1">
      <c r="A54" s="77" t="s">
        <v>34</v>
      </c>
      <c r="B54" s="88" t="str">
        <f>IF(B53=0," ",IF(B53&lt;21.7,TRUNC(25.4347*(18-B53*B$82)^1.81)," "))</f>
        <v> </v>
      </c>
      <c r="C54" s="89">
        <f>IF(C53&gt;155,TRUNC(0.14354*(C53*C$82-220)^1.4)," ")</f>
        <v>88</v>
      </c>
      <c r="D54" s="89">
        <f>IF(D53&gt;1.2,TRUNC(51.39*(D53*D$82-1.5)^1.05)," ")</f>
        <v>446</v>
      </c>
      <c r="E54" s="89">
        <f>IF(E53&gt;55,TRUNC(0.84565*(E53*E$82-75)^1.42)," ")</f>
        <v>171</v>
      </c>
      <c r="F54" s="89" t="str">
        <f>IF(F53=0," ",IF(F53&lt;105,TRUNC(1.53775*(82-F53*F$82)^1.81)," "))</f>
        <v> </v>
      </c>
      <c r="G54" s="89" t="str">
        <f>IF(G53=0," ",IF(G53&lt;31,TRUNC(5.74352*(28.5-G53*G$82)^1.92)," "))</f>
        <v> </v>
      </c>
      <c r="H54" s="89">
        <f>IF(H53&gt;3.7,TRUNC(12.91*(H53*H$82-4)^1.1)," ")</f>
        <v>291</v>
      </c>
      <c r="I54" s="89">
        <f>IF(I53&gt;69,TRUNC(0.2797*(I53*I$82-100)^1.35)," ")</f>
        <v>166</v>
      </c>
      <c r="J54" s="89">
        <f>IF(J53&gt;4.8,TRUNC(10.14*(J53*J$82-7)^1.08)," ")</f>
        <v>320</v>
      </c>
      <c r="K54" s="89" t="str">
        <f>IF(K53=0," ",IF(K53&lt;604.36,TRUNC(0.03768*(480-K53*K$82)^1.85)," "))</f>
        <v> </v>
      </c>
      <c r="L54" s="228"/>
      <c r="M54" s="29">
        <f>SUM(B54:K54)</f>
        <v>1482</v>
      </c>
      <c r="N54" s="30"/>
      <c r="O54" s="31">
        <f>MAX(B54:K54)</f>
        <v>446</v>
      </c>
      <c r="P54" s="198">
        <f>SUM(B54,F54,G54,K54)</f>
        <v>0</v>
      </c>
      <c r="Q54" s="205">
        <f>SUM(C54,E54,I54)</f>
        <v>425</v>
      </c>
      <c r="R54" s="206">
        <f>SUM(D54,H54,J54)</f>
        <v>1057</v>
      </c>
    </row>
    <row r="55" spans="1:18" ht="23.25" customHeight="1">
      <c r="A55" s="17" t="s">
        <v>39</v>
      </c>
      <c r="B55" s="18"/>
      <c r="C55" s="74">
        <v>278</v>
      </c>
      <c r="D55" s="75">
        <v>6</v>
      </c>
      <c r="E55" s="74">
        <v>80</v>
      </c>
      <c r="F55" s="75"/>
      <c r="G55" s="75"/>
      <c r="H55" s="75">
        <v>19.23</v>
      </c>
      <c r="I55" s="74"/>
      <c r="J55" s="75">
        <v>14.24</v>
      </c>
      <c r="K55" s="75"/>
      <c r="L55" s="232"/>
      <c r="M55" s="23"/>
      <c r="N55" s="8" t="s">
        <v>150</v>
      </c>
      <c r="P55" s="197">
        <f>100*P56/M56</f>
        <v>0</v>
      </c>
      <c r="Q55" s="203">
        <f>100*Q56/M56</f>
        <v>27.332089552238806</v>
      </c>
      <c r="R55" s="204">
        <f>100*R56/M56</f>
        <v>72.66791044776119</v>
      </c>
    </row>
    <row r="56" spans="1:18" s="52" customFormat="1" ht="23.25" customHeight="1">
      <c r="A56" s="77" t="s">
        <v>34</v>
      </c>
      <c r="B56" s="88" t="str">
        <f>IF(B55=0," ",IF(B55&lt;21.7,TRUNC(25.4347*(18-B55*B$82)^1.81)," "))</f>
        <v> </v>
      </c>
      <c r="C56" s="89">
        <f>IF(C55&gt;155,TRUNC(0.14354*(C55*C$82-220)^1.4)," ")</f>
        <v>192</v>
      </c>
      <c r="D56" s="89">
        <f>IF(D55&gt;1.2,TRUNC(51.39*(D55*D$82-1.5)^1.05)," ")</f>
        <v>336</v>
      </c>
      <c r="E56" s="89">
        <f>IF(E55&gt;55,TRUNC(0.84565*(E55*E$82-75)^1.42)," ")</f>
        <v>101</v>
      </c>
      <c r="F56" s="89" t="str">
        <f>IF(F55=0," ",IF(F55&lt;105,TRUNC(1.53775*(82-F55*F$82)^1.81)," "))</f>
        <v> </v>
      </c>
      <c r="G56" s="89" t="str">
        <f>IF(G55=0," ",IF(G55&lt;31,TRUNC(5.74352*(28.5-G55*G$82)^1.92)," "))</f>
        <v> </v>
      </c>
      <c r="H56" s="89">
        <f>IF(H55&gt;3.7,TRUNC(12.91*(H55*H$82-4)^1.1)," ")</f>
        <v>280</v>
      </c>
      <c r="I56" s="89" t="str">
        <f>IF(I55&gt;69,TRUNC(0.2797*(I55*I$82-100)^1.35)," ")</f>
        <v> </v>
      </c>
      <c r="J56" s="89">
        <f>IF(J55&gt;4.8,TRUNC(10.14*(J55*J$82-7)^1.08)," ")</f>
        <v>163</v>
      </c>
      <c r="K56" s="89" t="str">
        <f>IF(K55=0," ",IF(K55&lt;604.36,TRUNC(0.03768*(480-K55*K$82)^1.85)," "))</f>
        <v> </v>
      </c>
      <c r="L56" s="228"/>
      <c r="M56" s="29">
        <f>SUM(B56:K56)</f>
        <v>1072</v>
      </c>
      <c r="N56" s="30"/>
      <c r="O56" s="31">
        <f>MAX(B56:K56)</f>
        <v>336</v>
      </c>
      <c r="P56" s="198">
        <f>SUM(B56,F56,G56,K56)</f>
        <v>0</v>
      </c>
      <c r="Q56" s="205">
        <f>SUM(C56,E56,I56)</f>
        <v>293</v>
      </c>
      <c r="R56" s="206">
        <f>SUM(D56,H56,J56)</f>
        <v>779</v>
      </c>
    </row>
    <row r="57" spans="1:18" s="2" customFormat="1" ht="23.25" customHeight="1">
      <c r="A57" s="17" t="s">
        <v>38</v>
      </c>
      <c r="B57" s="18"/>
      <c r="C57" s="74"/>
      <c r="D57" s="75"/>
      <c r="E57" s="74"/>
      <c r="F57" s="75"/>
      <c r="G57" s="75"/>
      <c r="H57" s="75"/>
      <c r="I57" s="74"/>
      <c r="J57" s="75"/>
      <c r="K57" s="75"/>
      <c r="L57" s="234"/>
      <c r="M57" s="23"/>
      <c r="N57" s="8"/>
      <c r="O57" s="3"/>
      <c r="P57" s="197" t="e">
        <f>100*P58/M58</f>
        <v>#DIV/0!</v>
      </c>
      <c r="Q57" s="203" t="e">
        <f>100*Q58/M58</f>
        <v>#DIV/0!</v>
      </c>
      <c r="R57" s="204" t="e">
        <f>100*R58/M58</f>
        <v>#DIV/0!</v>
      </c>
    </row>
    <row r="58" spans="1:18" s="52" customFormat="1" ht="23.25" customHeight="1">
      <c r="A58" s="77" t="s">
        <v>34</v>
      </c>
      <c r="B58" s="88" t="str">
        <f>IF(B57=0," ",IF(B57&lt;21.7,TRUNC(25.4347*(18-B57*B$82)^1.81)," "))</f>
        <v> </v>
      </c>
      <c r="C58" s="89" t="str">
        <f>IF(C57&gt;155,TRUNC(0.14354*(C57*C$82-220)^1.4)," ")</f>
        <v> </v>
      </c>
      <c r="D58" s="89" t="str">
        <f>IF(D57&gt;1.2,TRUNC(51.39*(D57*D$82-1.5)^1.05)," ")</f>
        <v> </v>
      </c>
      <c r="E58" s="89" t="str">
        <f>IF(E57&gt;55,TRUNC(0.84565*(E57*E$82-75)^1.42)," ")</f>
        <v> </v>
      </c>
      <c r="F58" s="89" t="str">
        <f>IF(F57=0," ",IF(F57&lt;105,TRUNC(1.53775*(82-F57*F$82)^1.81)," "))</f>
        <v> </v>
      </c>
      <c r="G58" s="89" t="str">
        <f>IF(G57=0," ",IF(G57&lt;31,TRUNC(5.74352*(28.5-G57*G$82)^1.92)," "))</f>
        <v> </v>
      </c>
      <c r="H58" s="89" t="str">
        <f>IF(H57&gt;3.7,TRUNC(12.91*(H57*H$82-4)^1.1)," ")</f>
        <v> </v>
      </c>
      <c r="I58" s="89" t="str">
        <f>IF(I57&gt;69,TRUNC(0.2797*(I57*I$82-100)^1.35)," ")</f>
        <v> </v>
      </c>
      <c r="J58" s="89" t="str">
        <f>IF(J57&gt;4.8,TRUNC(10.14*(J57*J$82-7)^1.08)," ")</f>
        <v> </v>
      </c>
      <c r="K58" s="89" t="str">
        <f>IF(K57=0," ",IF(K57&lt;604.36,TRUNC(0.03768*(480-K57*K$82)^1.85)," "))</f>
        <v> </v>
      </c>
      <c r="L58" s="228"/>
      <c r="M58" s="29">
        <f>SUM(B58:K58)</f>
        <v>0</v>
      </c>
      <c r="N58" s="30"/>
      <c r="O58" s="31">
        <f>MAX(B58:K58)</f>
        <v>0</v>
      </c>
      <c r="P58" s="198">
        <f>SUM(B58,F58,G58,K58)</f>
        <v>0</v>
      </c>
      <c r="Q58" s="205">
        <f>SUM(C58,E58,I58)</f>
        <v>0</v>
      </c>
      <c r="R58" s="206">
        <f>SUM(D58,H58,J58)</f>
        <v>0</v>
      </c>
    </row>
    <row r="59" spans="1:18" s="13" customFormat="1" ht="28.5" customHeight="1">
      <c r="A59" s="17" t="s">
        <v>123</v>
      </c>
      <c r="B59" s="53">
        <v>21.15</v>
      </c>
      <c r="C59" s="54">
        <v>160</v>
      </c>
      <c r="D59" s="55">
        <v>1.23</v>
      </c>
      <c r="E59" s="54">
        <v>58.5</v>
      </c>
      <c r="F59" s="55">
        <v>99.45</v>
      </c>
      <c r="G59" s="55">
        <v>30.99</v>
      </c>
      <c r="H59" s="55">
        <v>3.9</v>
      </c>
      <c r="I59" s="54">
        <v>73</v>
      </c>
      <c r="J59" s="55">
        <v>5.1</v>
      </c>
      <c r="K59" s="55">
        <v>595</v>
      </c>
      <c r="L59" s="233"/>
      <c r="M59" s="80"/>
      <c r="N59" s="65"/>
      <c r="O59" s="66"/>
      <c r="P59" s="197">
        <f>100*P60/M60</f>
        <v>40</v>
      </c>
      <c r="Q59" s="203">
        <f>100*Q60/M60</f>
        <v>30</v>
      </c>
      <c r="R59" s="204">
        <f>100*R60/M60</f>
        <v>30</v>
      </c>
    </row>
    <row r="60" spans="1:18" s="52" customFormat="1" ht="28.5" customHeight="1">
      <c r="A60" s="77" t="s">
        <v>34</v>
      </c>
      <c r="B60" s="88">
        <f>IF(B59=0," ",IF(B59&lt;21.7,TRUNC(25.4347*(18-B59*B$82)^1.81)," "))</f>
        <v>1</v>
      </c>
      <c r="C60" s="89">
        <f>IF(C59&gt;155,TRUNC(0.14354*(C59*C$82-220)^1.4)," ")</f>
        <v>1</v>
      </c>
      <c r="D60" s="89">
        <f>IF(D59&gt;1.2,TRUNC(51.39*(D59*D$82-1.5)^1.05)," ")</f>
        <v>1</v>
      </c>
      <c r="E60" s="89">
        <f>IF(E59&gt;55,TRUNC(0.84565*(E59*E$82-75)^1.42)," ")</f>
        <v>1</v>
      </c>
      <c r="F60" s="89">
        <f>IF(F59=0," ",IF(F59&lt;105,TRUNC(1.53775*(82-F59*F$82)^1.81)," "))</f>
        <v>1</v>
      </c>
      <c r="G60" s="89">
        <f>IF(G59=0," ",IF(G59&lt;31,TRUNC(5.74352*(28.5-G59*G$82)^1.92)," "))</f>
        <v>1</v>
      </c>
      <c r="H60" s="89">
        <f>IF(H59&gt;3.7,TRUNC(12.91*(H59*H$82-4)^1.1)," ")</f>
        <v>1</v>
      </c>
      <c r="I60" s="89">
        <f>IF(I59&gt;69,TRUNC(0.2797*(I59*I$82-100)^1.35)," ")</f>
        <v>1</v>
      </c>
      <c r="J60" s="89">
        <f>IF(J59&gt;4.8,TRUNC(10.14*(J59*J$82-7)^1.08)," ")</f>
        <v>1</v>
      </c>
      <c r="K60" s="89">
        <f>IF(K59=0," ",IF(K59&lt;604.36,TRUNC(0.03768*(480-K59*K$82)^1.85)," "))</f>
        <v>1</v>
      </c>
      <c r="L60" s="228"/>
      <c r="M60" s="29">
        <f>SUM(B60:K60)</f>
        <v>10</v>
      </c>
      <c r="N60" s="30"/>
      <c r="O60" s="31">
        <f>MAX(B60:K60)</f>
        <v>1</v>
      </c>
      <c r="P60" s="198">
        <f>SUM(B60,F60,G60,K60)</f>
        <v>4</v>
      </c>
      <c r="Q60" s="205">
        <f>SUM(C60,E60,I60)</f>
        <v>3</v>
      </c>
      <c r="R60" s="206">
        <f>SUM(D60,H60,J60)</f>
        <v>3</v>
      </c>
    </row>
    <row r="61" ht="26.25">
      <c r="A61" s="81" t="s">
        <v>41</v>
      </c>
    </row>
    <row r="62" ht="15.75">
      <c r="A62" s="17" t="s">
        <v>42</v>
      </c>
    </row>
    <row r="63" spans="2:14" ht="23.25" customHeight="1">
      <c r="B63" s="82" t="s">
        <v>0</v>
      </c>
      <c r="C63" s="83" t="s">
        <v>1</v>
      </c>
      <c r="D63" s="83" t="s">
        <v>2</v>
      </c>
      <c r="E63" s="83" t="s">
        <v>3</v>
      </c>
      <c r="F63" s="83" t="s">
        <v>4</v>
      </c>
      <c r="G63" s="83" t="s">
        <v>5</v>
      </c>
      <c r="H63" s="83" t="s">
        <v>6</v>
      </c>
      <c r="I63" s="83" t="s">
        <v>7</v>
      </c>
      <c r="J63" s="83" t="s">
        <v>8</v>
      </c>
      <c r="K63" s="83" t="s">
        <v>9</v>
      </c>
      <c r="L63" s="235"/>
      <c r="M63" s="10" t="s">
        <v>10</v>
      </c>
      <c r="N63" s="11"/>
    </row>
    <row r="64" spans="1:14" ht="33.75" customHeight="1">
      <c r="A64" s="25" t="s">
        <v>43</v>
      </c>
      <c r="B64" s="84">
        <v>12.82</v>
      </c>
      <c r="C64" s="45">
        <v>559</v>
      </c>
      <c r="D64" s="85">
        <v>10.24</v>
      </c>
      <c r="E64" s="45">
        <v>165</v>
      </c>
      <c r="F64" s="85">
        <v>57.55</v>
      </c>
      <c r="G64" s="85">
        <v>18.25</v>
      </c>
      <c r="H64" s="85">
        <v>31.8</v>
      </c>
      <c r="I64" s="45">
        <v>356</v>
      </c>
      <c r="J64" s="85">
        <v>44</v>
      </c>
      <c r="K64" s="85">
        <v>310.7</v>
      </c>
      <c r="L64" s="236"/>
      <c r="M64" s="86"/>
      <c r="N64" s="87"/>
    </row>
    <row r="65" spans="1:14" ht="26.25" customHeight="1">
      <c r="A65" s="25" t="s">
        <v>44</v>
      </c>
      <c r="B65" s="88">
        <f>IF(B64=0," ",IF(B64&lt;18,TRUNC(25.4347*(18-B64)^1.81)," "))</f>
        <v>499</v>
      </c>
      <c r="C65" s="89">
        <f>IF(C64&gt;220,TRUNC(0.14354*(C64-220)^1.4)," ")</f>
        <v>500</v>
      </c>
      <c r="D65" s="89">
        <f>IF(D64&gt;1.5,TRUNC(51.39*(D64-1.5)^1.05)," ")</f>
        <v>500</v>
      </c>
      <c r="E65" s="89">
        <f>IF(E64&gt;75,TRUNC(0.84565*(E64-75)^1.42)," ")</f>
        <v>503</v>
      </c>
      <c r="F65" s="89">
        <f>IF(F64=0," ",IF(F64&lt;82,TRUNC(1.53775*(82-F64)^1.81)," "))</f>
        <v>500</v>
      </c>
      <c r="G65" s="89">
        <f>IF(G64=0," ",IF(G64&lt;28.5,TRUNC(5.74352*(28.5-G64)^1.92)," "))</f>
        <v>500</v>
      </c>
      <c r="H65" s="89">
        <f>IF(H64&gt;4,TRUNC(12.91*(H64-4)^1.1)," ")</f>
        <v>500</v>
      </c>
      <c r="I65" s="89">
        <f>IF(I64&gt;100,TRUNC(0.2797*(I64-100)^1.35)," ")</f>
        <v>498</v>
      </c>
      <c r="J65" s="89">
        <f>IF(J64&gt;7,TRUNC(10.14*(J64-7)^1.08)," ")</f>
        <v>500</v>
      </c>
      <c r="K65" s="89">
        <f>IF(K64=0," ",IF(K64&lt;480,TRUNC(0.03768*(480-K64)^1.85)," "))</f>
        <v>500</v>
      </c>
      <c r="M65" s="67">
        <f>SUM(B65:K65)</f>
        <v>5000</v>
      </c>
      <c r="N65" s="68"/>
    </row>
    <row r="66" spans="1:14" ht="26.25" customHeight="1">
      <c r="A66" s="17" t="s">
        <v>45</v>
      </c>
      <c r="B66" s="90" t="s">
        <v>46</v>
      </c>
      <c r="C66" s="91"/>
      <c r="D66" s="91"/>
      <c r="E66" s="91"/>
      <c r="F66" s="91"/>
      <c r="G66" s="90"/>
      <c r="H66" s="91"/>
      <c r="I66" s="91"/>
      <c r="J66" s="91"/>
      <c r="K66" s="91"/>
      <c r="M66" s="67"/>
      <c r="N66" s="68"/>
    </row>
    <row r="67" spans="1:18" s="25" customFormat="1" ht="21.75" customHeight="1">
      <c r="A67" s="25" t="s">
        <v>43</v>
      </c>
      <c r="B67" s="92">
        <v>11.33</v>
      </c>
      <c r="C67" s="20">
        <v>679</v>
      </c>
      <c r="D67" s="20">
        <v>17.5</v>
      </c>
      <c r="E67" s="20">
        <v>190</v>
      </c>
      <c r="F67" s="20">
        <v>51</v>
      </c>
      <c r="G67" s="20">
        <v>13.13</v>
      </c>
      <c r="H67" s="20">
        <v>57.95</v>
      </c>
      <c r="I67" s="20">
        <v>410</v>
      </c>
      <c r="J67" s="20">
        <v>60.5</v>
      </c>
      <c r="K67" s="20">
        <v>248.9</v>
      </c>
      <c r="L67" s="227"/>
      <c r="M67" s="76"/>
      <c r="N67" s="19"/>
      <c r="O67" s="24"/>
      <c r="Q67" s="209"/>
      <c r="R67" s="210"/>
    </row>
    <row r="68" spans="1:18" s="93" customFormat="1" ht="15.75">
      <c r="A68" s="93" t="s">
        <v>44</v>
      </c>
      <c r="B68" s="88">
        <f>TRUNC(4.99087*(42.5-B67*2)^1.81)</f>
        <v>1113</v>
      </c>
      <c r="C68" s="94">
        <f>TRUNC(0.188807*(C67-210)^1.41)</f>
        <v>1102</v>
      </c>
      <c r="D68" s="94">
        <f>TRUNC(56.0211*(D67-1.5)^1.05)</f>
        <v>1029</v>
      </c>
      <c r="E68" s="94">
        <f>TRUNC(1.84523*(E67-75)^1.348)</f>
        <v>1106</v>
      </c>
      <c r="F68" s="94">
        <f>TRUNC(0.11193*(254-F67*2.4)^1.88)</f>
        <v>1079</v>
      </c>
      <c r="G68" s="94">
        <f>TRUNC(9.23076*(26.7-G67)^1.835)</f>
        <v>1105</v>
      </c>
      <c r="H68" s="89">
        <f>TRUNC(12.91*(H67*H$81-4)^1.1)</f>
        <v>1173</v>
      </c>
      <c r="I68" s="89">
        <f>TRUNC(0.2797*(I67*I$81-100)^1.35)</f>
        <v>1037</v>
      </c>
      <c r="J68" s="94">
        <f>TRUNC(15.9803*(J67-3.8)^1.04)</f>
        <v>1064</v>
      </c>
      <c r="K68" s="94">
        <f>TRUNC(0.11193*(254-K67*0.5)^1.88)</f>
        <v>1047</v>
      </c>
      <c r="L68" s="237"/>
      <c r="M68" s="95">
        <f>SUM(B68:K68)</f>
        <v>10855</v>
      </c>
      <c r="N68" s="96"/>
      <c r="O68" s="94"/>
      <c r="Q68" s="211"/>
      <c r="R68" s="212"/>
    </row>
    <row r="69" spans="1:14" ht="47.25" customHeight="1">
      <c r="A69" s="62" t="s">
        <v>25</v>
      </c>
      <c r="B69" s="63"/>
      <c r="C69" s="13"/>
      <c r="D69" s="22"/>
      <c r="E69" s="97"/>
      <c r="F69" s="97"/>
      <c r="G69" s="97" t="s">
        <v>47</v>
      </c>
      <c r="H69" s="97"/>
      <c r="I69" s="97"/>
      <c r="J69" s="97"/>
      <c r="K69" s="97"/>
      <c r="M69" s="67"/>
      <c r="N69" s="68"/>
    </row>
    <row r="70" spans="1:14" ht="18">
      <c r="A70" s="98"/>
      <c r="B70" s="63"/>
      <c r="C70" s="13"/>
      <c r="D70" s="13" t="s">
        <v>26</v>
      </c>
      <c r="E70" s="13"/>
      <c r="F70" s="13"/>
      <c r="G70" s="13" t="s">
        <v>48</v>
      </c>
      <c r="H70" s="13" t="s">
        <v>27</v>
      </c>
      <c r="I70" s="13"/>
      <c r="J70" s="13" t="s">
        <v>28</v>
      </c>
      <c r="K70" s="13"/>
      <c r="M70" s="67"/>
      <c r="N70" s="68"/>
    </row>
    <row r="71" spans="1:14" ht="18">
      <c r="A71" s="98"/>
      <c r="B71" s="63"/>
      <c r="C71" s="13"/>
      <c r="D71" s="99" t="s">
        <v>29</v>
      </c>
      <c r="E71" s="13"/>
      <c r="F71" s="13"/>
      <c r="G71" s="13" t="s">
        <v>49</v>
      </c>
      <c r="H71" s="13" t="s">
        <v>31</v>
      </c>
      <c r="I71" s="13"/>
      <c r="J71" s="13" t="s">
        <v>32</v>
      </c>
      <c r="K71" s="13"/>
      <c r="M71" s="67"/>
      <c r="N71" s="68"/>
    </row>
    <row r="72" spans="1:14" ht="18">
      <c r="A72" s="98"/>
      <c r="B72" s="63"/>
      <c r="C72" s="13"/>
      <c r="D72" s="13" t="s">
        <v>50</v>
      </c>
      <c r="E72" s="13"/>
      <c r="F72" s="13"/>
      <c r="G72" s="99" t="s">
        <v>51</v>
      </c>
      <c r="H72" s="13"/>
      <c r="I72" s="13"/>
      <c r="J72" s="13" t="s">
        <v>52</v>
      </c>
      <c r="K72" s="13"/>
      <c r="M72" s="67"/>
      <c r="N72" s="68"/>
    </row>
    <row r="73" spans="1:14" ht="18">
      <c r="A73" s="100"/>
      <c r="B73" s="101"/>
      <c r="C73" s="102"/>
      <c r="D73" s="102"/>
      <c r="E73" s="102"/>
      <c r="F73" s="102"/>
      <c r="G73" s="102"/>
      <c r="H73" s="102"/>
      <c r="I73" s="102"/>
      <c r="J73" s="102" t="s">
        <v>53</v>
      </c>
      <c r="K73" s="102"/>
      <c r="M73" s="67"/>
      <c r="N73" s="68"/>
    </row>
    <row r="74" spans="1:11" ht="32.25" customHeight="1">
      <c r="A74" s="103" t="s">
        <v>54</v>
      </c>
      <c r="B74" s="104"/>
      <c r="C74" s="91"/>
      <c r="D74" s="91"/>
      <c r="E74" s="91"/>
      <c r="F74" s="91"/>
      <c r="G74" s="91"/>
      <c r="H74" s="91"/>
      <c r="I74" s="91"/>
      <c r="J74" s="91"/>
      <c r="K74" s="91"/>
    </row>
    <row r="75" spans="1:18" s="2" customFormat="1" ht="18">
      <c r="A75" s="3" t="s">
        <v>55</v>
      </c>
      <c r="B75" s="7" t="s">
        <v>0</v>
      </c>
      <c r="C75" s="8" t="s">
        <v>1</v>
      </c>
      <c r="D75" s="8" t="s">
        <v>2</v>
      </c>
      <c r="E75" s="8" t="s">
        <v>3</v>
      </c>
      <c r="F75" s="8" t="s">
        <v>4</v>
      </c>
      <c r="G75" s="8" t="s">
        <v>5</v>
      </c>
      <c r="H75" s="8" t="s">
        <v>6</v>
      </c>
      <c r="I75" s="8" t="s">
        <v>7</v>
      </c>
      <c r="J75" s="8" t="s">
        <v>8</v>
      </c>
      <c r="K75" s="8" t="s">
        <v>9</v>
      </c>
      <c r="L75" s="233"/>
      <c r="N75" s="3"/>
      <c r="O75" s="3"/>
      <c r="Q75" s="201"/>
      <c r="R75" s="202"/>
    </row>
    <row r="76" spans="2:11" ht="12.75">
      <c r="B76" s="105"/>
      <c r="C76" s="105"/>
      <c r="D76" s="105"/>
      <c r="E76" s="105"/>
      <c r="F76" s="105"/>
      <c r="G76" s="105"/>
      <c r="H76" s="105"/>
      <c r="I76" s="105"/>
      <c r="J76" s="105"/>
      <c r="K76" s="110"/>
    </row>
    <row r="77" spans="1:11" ht="19.5" customHeight="1">
      <c r="A77" s="3">
        <v>35</v>
      </c>
      <c r="B77" s="259">
        <v>0.9869</v>
      </c>
      <c r="C77" s="259">
        <v>1.0317</v>
      </c>
      <c r="D77" s="259">
        <v>1.0372</v>
      </c>
      <c r="E77" s="259">
        <v>1.026</v>
      </c>
      <c r="F77" s="259">
        <v>0.9654</v>
      </c>
      <c r="G77" s="260">
        <v>0.9901</v>
      </c>
      <c r="H77" s="259">
        <v>1.0143</v>
      </c>
      <c r="I77" s="259">
        <v>1.0168</v>
      </c>
      <c r="J77" s="259">
        <v>1.0126</v>
      </c>
      <c r="K77" s="259">
        <v>0.9913</v>
      </c>
    </row>
    <row r="78" spans="1:14" ht="19.5" customHeight="1">
      <c r="A78" s="3">
        <v>40</v>
      </c>
      <c r="B78" s="259">
        <v>0.9578</v>
      </c>
      <c r="C78" s="259">
        <v>1.0899</v>
      </c>
      <c r="D78" s="259">
        <v>1.1137</v>
      </c>
      <c r="E78" s="259">
        <v>1.0486</v>
      </c>
      <c r="F78" s="259">
        <v>0.9354</v>
      </c>
      <c r="G78" s="260">
        <v>0.9526</v>
      </c>
      <c r="H78" s="259">
        <v>1.1014</v>
      </c>
      <c r="I78" s="259">
        <v>1.0773</v>
      </c>
      <c r="J78" s="259">
        <v>1.0862</v>
      </c>
      <c r="K78" s="259">
        <v>0.9519</v>
      </c>
      <c r="M78" s="106"/>
      <c r="N78" s="107"/>
    </row>
    <row r="79" spans="1:11" ht="19.5" customHeight="1">
      <c r="A79" s="3">
        <v>45</v>
      </c>
      <c r="B79" s="259">
        <v>0.9287</v>
      </c>
      <c r="C79" s="259">
        <v>1.1551</v>
      </c>
      <c r="D79" s="259">
        <v>1.2023</v>
      </c>
      <c r="E79" s="259">
        <v>1.1022</v>
      </c>
      <c r="F79" s="259">
        <v>0.9054</v>
      </c>
      <c r="G79" s="260">
        <v>0.9151</v>
      </c>
      <c r="H79" s="259">
        <v>1.2049</v>
      </c>
      <c r="I79" s="259">
        <v>1.1481</v>
      </c>
      <c r="J79" s="259">
        <v>1.1716</v>
      </c>
      <c r="K79" s="259">
        <v>0.9125</v>
      </c>
    </row>
    <row r="80" spans="1:11" ht="19.5" customHeight="1">
      <c r="A80" s="3">
        <v>50</v>
      </c>
      <c r="B80" s="259">
        <v>0.8996</v>
      </c>
      <c r="C80" s="259">
        <v>1.2286</v>
      </c>
      <c r="D80" s="259">
        <v>1.1721</v>
      </c>
      <c r="E80" s="259">
        <v>1.1617</v>
      </c>
      <c r="F80" s="259">
        <v>0.8754</v>
      </c>
      <c r="G80" s="259">
        <v>0.9604</v>
      </c>
      <c r="H80" s="259">
        <v>1.0218</v>
      </c>
      <c r="I80" s="259">
        <v>1.2272</v>
      </c>
      <c r="J80" s="259">
        <v>1.2278</v>
      </c>
      <c r="K80" s="259">
        <v>0.8731</v>
      </c>
    </row>
    <row r="81" spans="1:11" ht="19.5" customHeight="1">
      <c r="A81" s="3">
        <v>55</v>
      </c>
      <c r="B81" s="259">
        <v>0.8705</v>
      </c>
      <c r="C81" s="259">
        <v>1.3121</v>
      </c>
      <c r="D81" s="259">
        <v>1.2706</v>
      </c>
      <c r="E81" s="259">
        <v>1.228</v>
      </c>
      <c r="F81" s="259">
        <v>0.8454</v>
      </c>
      <c r="G81" s="259">
        <v>0.9229</v>
      </c>
      <c r="H81" s="259">
        <v>1.1103</v>
      </c>
      <c r="I81" s="259">
        <v>1.3182</v>
      </c>
      <c r="J81" s="259">
        <v>1.338</v>
      </c>
      <c r="K81" s="259">
        <v>0.8337</v>
      </c>
    </row>
    <row r="82" spans="1:11" ht="19.5" customHeight="1">
      <c r="A82" s="3">
        <v>60</v>
      </c>
      <c r="B82" s="259">
        <v>0.8414</v>
      </c>
      <c r="C82" s="259">
        <v>1.4078</v>
      </c>
      <c r="D82" s="259">
        <v>1.2482</v>
      </c>
      <c r="E82" s="259">
        <v>1.3025</v>
      </c>
      <c r="F82" s="259">
        <v>0.8154</v>
      </c>
      <c r="G82" s="259">
        <v>0.9012</v>
      </c>
      <c r="H82" s="259">
        <v>1.0628</v>
      </c>
      <c r="I82" s="259">
        <v>1.4236</v>
      </c>
      <c r="J82" s="259">
        <v>1.414</v>
      </c>
      <c r="K82" s="259">
        <v>0.7939</v>
      </c>
    </row>
    <row r="83" spans="1:11" ht="19.5" customHeight="1">
      <c r="A83" s="3">
        <v>65</v>
      </c>
      <c r="B83" s="259">
        <v>0.8111</v>
      </c>
      <c r="C83" s="259">
        <v>1.5186</v>
      </c>
      <c r="D83" s="259">
        <v>1.3607</v>
      </c>
      <c r="E83" s="259">
        <v>1.3869</v>
      </c>
      <c r="F83" s="259">
        <v>0.7836</v>
      </c>
      <c r="G83" s="259">
        <v>0.8637</v>
      </c>
      <c r="H83" s="259">
        <v>1.1637</v>
      </c>
      <c r="I83" s="259">
        <v>1.5475</v>
      </c>
      <c r="J83" s="259">
        <v>1.562</v>
      </c>
      <c r="K83" s="259">
        <v>0.7529</v>
      </c>
    </row>
    <row r="84" spans="1:14" ht="19.5" customHeight="1">
      <c r="A84" s="3">
        <v>70</v>
      </c>
      <c r="B84" s="259">
        <v>0.7782</v>
      </c>
      <c r="C84" s="259">
        <v>1.6482</v>
      </c>
      <c r="D84" s="261">
        <v>1.2806</v>
      </c>
      <c r="E84" s="259">
        <v>1.4832</v>
      </c>
      <c r="F84" s="259">
        <v>0.746</v>
      </c>
      <c r="G84" s="259">
        <v>1.022</v>
      </c>
      <c r="H84" s="259">
        <v>1.2781</v>
      </c>
      <c r="I84" s="259">
        <v>1.6949</v>
      </c>
      <c r="J84" s="259">
        <v>1.6801</v>
      </c>
      <c r="K84" s="259">
        <v>0.7079</v>
      </c>
      <c r="M84" s="108"/>
      <c r="N84" s="87"/>
    </row>
    <row r="85" spans="1:11" ht="19.5" customHeight="1">
      <c r="A85" s="3">
        <v>75</v>
      </c>
      <c r="B85" s="259">
        <v>0.7409</v>
      </c>
      <c r="C85" s="259">
        <v>1.8021</v>
      </c>
      <c r="D85" s="261">
        <v>1.3993</v>
      </c>
      <c r="E85" s="259">
        <v>1.5943</v>
      </c>
      <c r="F85" s="259">
        <v>0.6984</v>
      </c>
      <c r="G85" s="259">
        <v>0.9845</v>
      </c>
      <c r="H85" s="259">
        <v>1.4332</v>
      </c>
      <c r="I85" s="259">
        <v>1.8733</v>
      </c>
      <c r="J85" s="259">
        <v>1.8932</v>
      </c>
      <c r="K85" s="259">
        <v>0.6556</v>
      </c>
    </row>
    <row r="86" spans="1:11" ht="19.5" customHeight="1">
      <c r="A86" s="3">
        <v>80</v>
      </c>
      <c r="B86" s="259">
        <v>0.6967</v>
      </c>
      <c r="C86" s="259">
        <v>1.9876</v>
      </c>
      <c r="D86" s="261">
        <v>1.5053</v>
      </c>
      <c r="E86" s="259">
        <v>1.7241</v>
      </c>
      <c r="F86" s="259">
        <v>0.6363</v>
      </c>
      <c r="G86" s="259">
        <v>0.8912</v>
      </c>
      <c r="H86" s="259">
        <v>1.6441</v>
      </c>
      <c r="I86" s="259">
        <v>2.0938</v>
      </c>
      <c r="J86" s="259">
        <v>2.0952</v>
      </c>
      <c r="K86" s="259">
        <v>0.592</v>
      </c>
    </row>
    <row r="87" spans="1:11" ht="19.5" customHeight="1">
      <c r="A87" s="3">
        <v>85</v>
      </c>
      <c r="B87" s="259">
        <v>0.6423</v>
      </c>
      <c r="C87" s="259">
        <v>2.2158</v>
      </c>
      <c r="D87" s="261">
        <v>1.6866</v>
      </c>
      <c r="E87" s="259">
        <v>1.8779</v>
      </c>
      <c r="F87" s="259">
        <v>0.5548</v>
      </c>
      <c r="G87" s="259">
        <v>0.8344</v>
      </c>
      <c r="H87" s="259">
        <v>1.9508</v>
      </c>
      <c r="I87" s="259">
        <v>2.373</v>
      </c>
      <c r="J87" s="259">
        <v>2.4378</v>
      </c>
      <c r="K87" s="259">
        <v>0.5121</v>
      </c>
    </row>
    <row r="88" spans="1:11" ht="19.5" customHeight="1">
      <c r="A88" s="3">
        <v>90</v>
      </c>
      <c r="B88" s="259">
        <v>0.5735</v>
      </c>
      <c r="C88" s="259">
        <v>2.5031</v>
      </c>
      <c r="D88" s="261">
        <v>1.9535</v>
      </c>
      <c r="E88" s="259">
        <v>2.0635</v>
      </c>
      <c r="F88" s="259">
        <v>0.4485</v>
      </c>
      <c r="G88" s="259">
        <v>0.7496</v>
      </c>
      <c r="H88" s="259">
        <v>2.4402</v>
      </c>
      <c r="I88" s="259">
        <v>2.7382</v>
      </c>
      <c r="J88" s="259">
        <v>2.9137</v>
      </c>
      <c r="K88" s="259">
        <v>0.4095</v>
      </c>
    </row>
    <row r="89" spans="1:11" ht="19.5" customHeight="1">
      <c r="A89" s="3">
        <v>95</v>
      </c>
      <c r="B89" s="259">
        <v>0.485</v>
      </c>
      <c r="C89" s="259">
        <v>2.876</v>
      </c>
      <c r="D89" s="262">
        <v>2.4044</v>
      </c>
      <c r="E89" s="259">
        <v>2.2925</v>
      </c>
      <c r="F89" s="259">
        <v>0.3114</v>
      </c>
      <c r="G89" s="261">
        <v>0.6129</v>
      </c>
      <c r="H89" s="259">
        <v>3.3478</v>
      </c>
      <c r="I89" s="259">
        <v>3.2362</v>
      </c>
      <c r="J89" s="259">
        <v>3.6206</v>
      </c>
      <c r="K89" s="259">
        <v>0.2759</v>
      </c>
    </row>
    <row r="90" spans="1:11" ht="19.5" customHeight="1">
      <c r="A90" s="3" t="s">
        <v>56</v>
      </c>
      <c r="B90" s="261">
        <v>0.2735</v>
      </c>
      <c r="C90" s="261">
        <v>6.4392</v>
      </c>
      <c r="D90" s="261">
        <v>3.512</v>
      </c>
      <c r="E90" s="261">
        <v>3.5</v>
      </c>
      <c r="F90" s="261">
        <v>0.2469</v>
      </c>
      <c r="G90" s="261">
        <v>0.2981</v>
      </c>
      <c r="H90" s="259">
        <v>5.6116</v>
      </c>
      <c r="I90" s="261">
        <v>4.8547</v>
      </c>
      <c r="J90" s="261">
        <v>8.7034</v>
      </c>
      <c r="K90" s="261">
        <v>0.1908</v>
      </c>
    </row>
    <row r="91" spans="1:11" ht="12.75">
      <c r="A91" s="109"/>
      <c r="B91" s="110"/>
      <c r="C91" s="9"/>
      <c r="D91" s="9"/>
      <c r="E91" s="9"/>
      <c r="F91" s="9"/>
      <c r="G91" s="111"/>
      <c r="H91" s="9"/>
      <c r="I91" s="9"/>
      <c r="J91" s="9"/>
      <c r="K91" s="9"/>
    </row>
    <row r="92" spans="1:11" ht="26.25">
      <c r="A92" s="112" t="s">
        <v>57</v>
      </c>
      <c r="B92" s="110"/>
      <c r="C92" s="9"/>
      <c r="D92" s="9"/>
      <c r="E92" s="9"/>
      <c r="F92" s="9"/>
      <c r="G92" s="111"/>
      <c r="H92" s="9"/>
      <c r="I92" s="9"/>
      <c r="J92" s="9"/>
      <c r="K92" s="9"/>
    </row>
    <row r="93" spans="2:11" ht="18">
      <c r="B93" s="82" t="s">
        <v>0</v>
      </c>
      <c r="C93" s="83" t="s">
        <v>1</v>
      </c>
      <c r="D93" s="83" t="s">
        <v>2</v>
      </c>
      <c r="E93" s="83" t="s">
        <v>3</v>
      </c>
      <c r="F93" s="83" t="s">
        <v>4</v>
      </c>
      <c r="G93" s="83" t="s">
        <v>5</v>
      </c>
      <c r="H93" s="83" t="s">
        <v>6</v>
      </c>
      <c r="I93" s="83" t="s">
        <v>7</v>
      </c>
      <c r="J93" s="83" t="s">
        <v>8</v>
      </c>
      <c r="K93" s="83" t="s">
        <v>9</v>
      </c>
    </row>
    <row r="94" spans="1:11" ht="15">
      <c r="A94" s="25" t="s">
        <v>58</v>
      </c>
      <c r="B94" s="113">
        <v>12.82</v>
      </c>
      <c r="C94" s="114">
        <v>559</v>
      </c>
      <c r="D94" s="115">
        <v>10.24</v>
      </c>
      <c r="E94" s="114">
        <v>165</v>
      </c>
      <c r="F94" s="115">
        <v>57.55</v>
      </c>
      <c r="G94" s="115">
        <v>18.25</v>
      </c>
      <c r="H94" s="115">
        <v>31.8</v>
      </c>
      <c r="I94" s="114">
        <v>356</v>
      </c>
      <c r="J94" s="115">
        <v>44</v>
      </c>
      <c r="K94" s="115">
        <v>310.7</v>
      </c>
    </row>
    <row r="95" spans="1:13" ht="15">
      <c r="A95" s="25" t="s">
        <v>59</v>
      </c>
      <c r="B95" s="104">
        <f>TRUNC(25.4347*(18-B94*B$77)^1.81)</f>
        <v>528</v>
      </c>
      <c r="C95" s="91">
        <f>TRUNC(0.14354*(C94*C$77-220)^1.4)</f>
        <v>537</v>
      </c>
      <c r="D95" s="91">
        <f>TRUNC(51.39*(D94*D$77-1.5)^1.05)</f>
        <v>523</v>
      </c>
      <c r="E95" s="91">
        <f>TRUNC(0.84565*(E94*E$77-75)^1.42)</f>
        <v>538</v>
      </c>
      <c r="F95" s="91">
        <f>TRUNC(1.53775*(82-F94*F$77)^1.81)</f>
        <v>577</v>
      </c>
      <c r="G95" s="91">
        <f>TRUNC(5.74352*(28.5-G94*G$77)^1.92)</f>
        <v>518</v>
      </c>
      <c r="H95" s="91">
        <f>TRUNC(12.91*(H94*H$77-4)^1.1)</f>
        <v>509</v>
      </c>
      <c r="I95" s="91">
        <f>TRUNC(0.2797*(I94*I$77-100)^1.35)</f>
        <v>514</v>
      </c>
      <c r="J95" s="91">
        <f>TRUNC(10.14*(J94*J$77-7)^1.08)</f>
        <v>508</v>
      </c>
      <c r="K95" s="91">
        <f>TRUNC(0.03768*(480-K94*K$77)^1.85)</f>
        <v>515</v>
      </c>
      <c r="M95" s="116">
        <f>SUM(B95:L95)</f>
        <v>5267</v>
      </c>
    </row>
    <row r="96" spans="1:11" ht="15">
      <c r="A96" s="25" t="s">
        <v>58</v>
      </c>
      <c r="B96" s="113">
        <v>12.82</v>
      </c>
      <c r="C96" s="114">
        <v>559</v>
      </c>
      <c r="D96" s="115">
        <v>10.24</v>
      </c>
      <c r="E96" s="114">
        <v>165</v>
      </c>
      <c r="F96" s="115">
        <v>57.55</v>
      </c>
      <c r="G96" s="115">
        <v>18.25</v>
      </c>
      <c r="H96" s="115">
        <v>31.8</v>
      </c>
      <c r="I96" s="114">
        <v>356</v>
      </c>
      <c r="J96" s="115">
        <v>44</v>
      </c>
      <c r="K96" s="115">
        <v>310.7</v>
      </c>
    </row>
    <row r="97" spans="1:13" ht="15">
      <c r="A97" s="25" t="s">
        <v>60</v>
      </c>
      <c r="B97" s="104">
        <f>TRUNC(25.4347*(18-B96*B$78)^1.81)</f>
        <v>597</v>
      </c>
      <c r="C97" s="91">
        <f>TRUNC(0.14354*(C96*C$78-220)^1.4)</f>
        <v>607</v>
      </c>
      <c r="D97" s="91">
        <f>TRUNC(51.39*(D96*D$78-1.5)^1.05)</f>
        <v>570</v>
      </c>
      <c r="E97" s="91">
        <f>TRUNC(0.84565*(E96*E$78-75)^1.42)</f>
        <v>568</v>
      </c>
      <c r="F97" s="91">
        <f>TRUNC(1.53775*(82-F96*F$78)^1.81)</f>
        <v>647</v>
      </c>
      <c r="G97" s="91">
        <f>TRUNC(5.74352*(28.5-G96*G$78)^1.92)</f>
        <v>585</v>
      </c>
      <c r="H97" s="91">
        <f>TRUNC(12.91*(H96*H$78-4)^1.1)</f>
        <v>564</v>
      </c>
      <c r="I97" s="91">
        <f>TRUNC(0.2797*(I96*I$78-100)^1.35)</f>
        <v>572</v>
      </c>
      <c r="J97" s="91">
        <f>TRUNC(10.14*(J96*J$78-7)^1.08)</f>
        <v>556</v>
      </c>
      <c r="K97" s="91">
        <f>TRUNC(0.03768*(480-K96*K$78)^1.85)</f>
        <v>584</v>
      </c>
      <c r="M97" s="116">
        <f>SUM(B97:L97)</f>
        <v>5850</v>
      </c>
    </row>
    <row r="98" spans="1:11" ht="15">
      <c r="A98" s="25" t="s">
        <v>58</v>
      </c>
      <c r="B98" s="113">
        <v>12.82</v>
      </c>
      <c r="C98" s="114">
        <v>559</v>
      </c>
      <c r="D98" s="115">
        <v>10.24</v>
      </c>
      <c r="E98" s="114">
        <v>165</v>
      </c>
      <c r="F98" s="115">
        <v>57.55</v>
      </c>
      <c r="G98" s="115">
        <v>18.25</v>
      </c>
      <c r="H98" s="115">
        <v>31.8</v>
      </c>
      <c r="I98" s="114">
        <v>356</v>
      </c>
      <c r="J98" s="115">
        <v>44</v>
      </c>
      <c r="K98" s="115">
        <v>310.7</v>
      </c>
    </row>
    <row r="99" spans="1:13" ht="15">
      <c r="A99" s="25" t="s">
        <v>61</v>
      </c>
      <c r="B99" s="104">
        <f>TRUNC(25.4347*(18-B98*B$79)^1.81)</f>
        <v>670</v>
      </c>
      <c r="C99" s="91">
        <f>TRUNC(0.14354*(C98*C$79-220)^1.4)</f>
        <v>688</v>
      </c>
      <c r="D99" s="91">
        <f>TRUNC(51.39*(D98*D$79-1.5)^1.05)</f>
        <v>625</v>
      </c>
      <c r="E99" s="91">
        <f>TRUNC(0.84565*(E98*E$79-75)^1.42)</f>
        <v>642</v>
      </c>
      <c r="F99" s="91">
        <f>TRUNC(1.53775*(82-F98*F$79)^1.81)</f>
        <v>720</v>
      </c>
      <c r="G99" s="91">
        <f>TRUNC(5.74352*(28.5-G98*G$79)^1.92)</f>
        <v>656</v>
      </c>
      <c r="H99" s="91">
        <f>TRUNC(12.91*(H98*H$79-4)^1.1)</f>
        <v>630</v>
      </c>
      <c r="I99" s="91">
        <f>TRUNC(0.2797*(I98*I$79-100)^1.35)</f>
        <v>642</v>
      </c>
      <c r="J99" s="91">
        <f>TRUNC(10.14*(J98*J$79-7)^1.08)</f>
        <v>612</v>
      </c>
      <c r="K99" s="91">
        <f>TRUNC(0.03768*(480-K98*K$79)^1.85)</f>
        <v>658</v>
      </c>
      <c r="M99" s="116">
        <f>SUM(B99:L99)</f>
        <v>6543</v>
      </c>
    </row>
    <row r="100" spans="1:11" ht="15">
      <c r="A100" s="25" t="s">
        <v>58</v>
      </c>
      <c r="B100" s="113">
        <v>12.82</v>
      </c>
      <c r="C100" s="114">
        <v>559</v>
      </c>
      <c r="D100" s="115">
        <v>10.24</v>
      </c>
      <c r="E100" s="114">
        <v>165</v>
      </c>
      <c r="F100" s="115">
        <v>57.55</v>
      </c>
      <c r="G100" s="115">
        <v>18.25</v>
      </c>
      <c r="H100" s="115">
        <v>31.8</v>
      </c>
      <c r="I100" s="114">
        <v>356</v>
      </c>
      <c r="J100" s="115">
        <v>44</v>
      </c>
      <c r="K100" s="115">
        <v>310.7</v>
      </c>
    </row>
    <row r="101" spans="1:13" ht="15">
      <c r="A101" s="25" t="s">
        <v>62</v>
      </c>
      <c r="B101" s="104">
        <f>TRUNC(25.4347*(18-B100*B$80)^1.81)</f>
        <v>746</v>
      </c>
      <c r="C101" s="91">
        <f>TRUNC(0.14354*(C100*C$80-220)^1.4)</f>
        <v>782</v>
      </c>
      <c r="D101" s="91">
        <f>TRUNC(51.39*(D100*D$80-1.5)^1.05)</f>
        <v>607</v>
      </c>
      <c r="E101" s="91">
        <f>TRUNC(0.84565*(E100*E$80-75)^1.42)</f>
        <v>728</v>
      </c>
      <c r="F101" s="91">
        <f>TRUNC(1.53775*(82-F100*F$80)^1.81)</f>
        <v>797</v>
      </c>
      <c r="G101" s="91">
        <f>TRUNC(5.74352*(28.5-G100*G$80)^1.92)</f>
        <v>570</v>
      </c>
      <c r="H101" s="91">
        <f>TRUNC(12.91*(H100*H$80-4)^1.1)</f>
        <v>514</v>
      </c>
      <c r="I101" s="91">
        <f>TRUNC(0.2797*(I100*I$80-100)^1.35)</f>
        <v>722</v>
      </c>
      <c r="J101" s="91">
        <f>TRUNC(10.14*(J100*J$80-7)^1.08)</f>
        <v>648</v>
      </c>
      <c r="K101" s="91">
        <f>TRUNC(0.03768*(480-K100*K$80)^1.85)</f>
        <v>736</v>
      </c>
      <c r="M101" s="116">
        <f>SUM(B101:L101)</f>
        <v>6850</v>
      </c>
    </row>
    <row r="102" spans="1:11" ht="15">
      <c r="A102" s="25" t="s">
        <v>58</v>
      </c>
      <c r="B102" s="113">
        <v>12.82</v>
      </c>
      <c r="C102" s="114">
        <v>559</v>
      </c>
      <c r="D102" s="115">
        <v>10.24</v>
      </c>
      <c r="E102" s="114">
        <v>165</v>
      </c>
      <c r="F102" s="115">
        <v>57.55</v>
      </c>
      <c r="G102" s="115">
        <v>18.25</v>
      </c>
      <c r="H102" s="115">
        <v>31.8</v>
      </c>
      <c r="I102" s="114">
        <v>356</v>
      </c>
      <c r="J102" s="115">
        <v>44</v>
      </c>
      <c r="K102" s="115">
        <v>310.7</v>
      </c>
    </row>
    <row r="103" spans="1:13" ht="15">
      <c r="A103" s="25" t="s">
        <v>63</v>
      </c>
      <c r="B103" s="104">
        <f>TRUNC(25.4347*(18-B102*B$81)^1.81)</f>
        <v>825</v>
      </c>
      <c r="C103" s="91">
        <f>TRUNC(0.14354*(C102*C$81-220)^1.4)</f>
        <v>894</v>
      </c>
      <c r="D103" s="91">
        <f>TRUNC(51.39*(D102*D$81-1.5)^1.05)</f>
        <v>668</v>
      </c>
      <c r="E103" s="91">
        <f>TRUNC(0.84565*(E102*E$81-75)^1.42)</f>
        <v>827</v>
      </c>
      <c r="F103" s="91">
        <f>TRUNC(1.53775*(82-F102*F$81)^1.81)</f>
        <v>878</v>
      </c>
      <c r="G103" s="91">
        <f>TRUNC(5.74352*(28.5-G102*G$81)^1.92)</f>
        <v>641</v>
      </c>
      <c r="H103" s="91">
        <f>TRUNC(12.91*(H102*H$81-4)^1.1)</f>
        <v>570</v>
      </c>
      <c r="I103" s="91">
        <f>TRUNC(0.2797*(I102*I$81-100)^1.35)</f>
        <v>817</v>
      </c>
      <c r="J103" s="91">
        <f>TRUNC(10.14*(J102*J$81-7)^1.08)</f>
        <v>721</v>
      </c>
      <c r="K103" s="91">
        <f>TRUNC(0.03768*(480-K102*K$81)^1.85)</f>
        <v>818</v>
      </c>
      <c r="M103" s="116">
        <f>SUM(B103:L103)</f>
        <v>7659</v>
      </c>
    </row>
    <row r="104" spans="1:11" ht="15">
      <c r="A104" s="25"/>
      <c r="B104" s="104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1:11" ht="12.75">
      <c r="A105" s="109"/>
      <c r="B105" s="110"/>
      <c r="C105" s="9"/>
      <c r="D105" s="9"/>
      <c r="E105" s="9"/>
      <c r="F105" s="9"/>
      <c r="G105" s="111"/>
      <c r="H105" s="9"/>
      <c r="I105" s="9"/>
      <c r="J105" s="9"/>
      <c r="K105" s="9"/>
    </row>
    <row r="106" spans="1:11" ht="12.75">
      <c r="A106" s="117" t="s">
        <v>64</v>
      </c>
      <c r="B106" s="110"/>
      <c r="C106" s="9"/>
      <c r="D106" s="9"/>
      <c r="E106" s="9"/>
      <c r="F106" s="9"/>
      <c r="G106" s="111"/>
      <c r="H106" s="9"/>
      <c r="I106" s="9"/>
      <c r="J106" s="9"/>
      <c r="K106" s="9"/>
    </row>
    <row r="107" spans="2:11" ht="12.75">
      <c r="B107" s="118"/>
      <c r="C107" s="119"/>
      <c r="D107" s="120"/>
      <c r="E107" s="119"/>
      <c r="F107" s="120"/>
      <c r="G107" s="121"/>
      <c r="H107" s="120"/>
      <c r="I107" s="119"/>
      <c r="J107" s="120"/>
      <c r="K107" s="120"/>
    </row>
    <row r="108" spans="2:14" ht="33" customHeight="1">
      <c r="B108" s="82" t="s">
        <v>0</v>
      </c>
      <c r="C108" s="83" t="s">
        <v>1</v>
      </c>
      <c r="D108" s="83" t="s">
        <v>2</v>
      </c>
      <c r="E108" s="83" t="s">
        <v>3</v>
      </c>
      <c r="F108" s="83" t="s">
        <v>4</v>
      </c>
      <c r="G108" s="83" t="s">
        <v>5</v>
      </c>
      <c r="H108" s="83" t="s">
        <v>6</v>
      </c>
      <c r="I108" s="83" t="s">
        <v>7</v>
      </c>
      <c r="J108" s="83" t="s">
        <v>8</v>
      </c>
      <c r="K108" s="83" t="s">
        <v>9</v>
      </c>
      <c r="M108" s="106" t="s">
        <v>10</v>
      </c>
      <c r="N108" s="107"/>
    </row>
    <row r="109" spans="1:14" ht="33.75" customHeight="1">
      <c r="A109" s="25" t="s">
        <v>65</v>
      </c>
      <c r="B109" s="113">
        <v>9.69</v>
      </c>
      <c r="C109" s="114">
        <v>895</v>
      </c>
      <c r="D109" s="115">
        <v>23.1</v>
      </c>
      <c r="E109" s="114">
        <v>245</v>
      </c>
      <c r="F109" s="115">
        <v>43.1</v>
      </c>
      <c r="G109" s="115">
        <v>12.87</v>
      </c>
      <c r="H109" s="115">
        <v>74.08</v>
      </c>
      <c r="I109" s="114">
        <v>614</v>
      </c>
      <c r="J109" s="115">
        <v>98.65</v>
      </c>
      <c r="K109" s="115">
        <v>206</v>
      </c>
      <c r="L109" s="236"/>
      <c r="M109" s="86"/>
      <c r="N109" s="87"/>
    </row>
    <row r="110" spans="1:18" s="102" customFormat="1" ht="26.25" customHeight="1">
      <c r="A110" s="93" t="s">
        <v>44</v>
      </c>
      <c r="B110" s="122">
        <f>TRUNC(25.4347*(18-B109)^1.81)</f>
        <v>1174</v>
      </c>
      <c r="C110" s="123">
        <f>TRUNC(0.14354*(C109-220)^1.4)</f>
        <v>1312</v>
      </c>
      <c r="D110" s="123">
        <f>TRUNC(51.39*(D109-1.5)^1.05)</f>
        <v>1294</v>
      </c>
      <c r="E110" s="123">
        <f>TRUNC(0.84565*(E109-75)^1.42)</f>
        <v>1242</v>
      </c>
      <c r="F110" s="123">
        <f>TRUNC(1.53775*(82-F109)^1.81)</f>
        <v>1160</v>
      </c>
      <c r="G110" s="123">
        <f>TRUNC(5.74352*(28.5-G109)^1.92)</f>
        <v>1126</v>
      </c>
      <c r="H110" s="123">
        <f>TRUNC(12.91*(H109-4)^1.1)</f>
        <v>1383</v>
      </c>
      <c r="I110" s="123">
        <f>TRUNC(0.2797*(I109-100)^1.35)</f>
        <v>1277</v>
      </c>
      <c r="J110" s="123">
        <f>TRUNC(10.14*(J109-7)^1.08)</f>
        <v>1333</v>
      </c>
      <c r="K110" s="123">
        <f>TRUNC(0.03768*(480-K109)^1.85)</f>
        <v>1218</v>
      </c>
      <c r="L110" s="238"/>
      <c r="M110" s="124">
        <f>SUM(B110:K110)</f>
        <v>12519</v>
      </c>
      <c r="N110" s="125"/>
      <c r="O110" s="126"/>
      <c r="Q110" s="213"/>
      <c r="R110" s="214"/>
    </row>
    <row r="111" spans="1:14" ht="33.75" customHeight="1">
      <c r="A111" s="25" t="s">
        <v>66</v>
      </c>
      <c r="B111" s="113">
        <v>10.39</v>
      </c>
      <c r="C111" s="114">
        <v>776</v>
      </c>
      <c r="D111" s="115">
        <v>18.4</v>
      </c>
      <c r="E111" s="114">
        <v>221</v>
      </c>
      <c r="F111" s="115">
        <v>46.17</v>
      </c>
      <c r="G111" s="115">
        <v>13.8</v>
      </c>
      <c r="H111" s="115">
        <v>56.2</v>
      </c>
      <c r="I111" s="114">
        <v>529</v>
      </c>
      <c r="J111" s="115">
        <v>77.2</v>
      </c>
      <c r="K111" s="115">
        <v>233.7</v>
      </c>
      <c r="L111" s="236"/>
      <c r="M111" s="86"/>
      <c r="N111" s="87"/>
    </row>
    <row r="112" spans="1:18" s="102" customFormat="1" ht="26.25" customHeight="1">
      <c r="A112" s="93" t="s">
        <v>44</v>
      </c>
      <c r="B112" s="122">
        <f>TRUNC(25.4347*(18-B111)^1.81)</f>
        <v>1001</v>
      </c>
      <c r="C112" s="123">
        <f>TRUNC(0.14354*(C111-220)^1.4)</f>
        <v>1000</v>
      </c>
      <c r="D112" s="123">
        <f>TRUNC(51.39*(D111-1.5)^1.05)</f>
        <v>1000</v>
      </c>
      <c r="E112" s="123">
        <f>TRUNC(0.84565*(E111-75)^1.42)</f>
        <v>1001</v>
      </c>
      <c r="F112" s="123">
        <f>TRUNC(1.53775*(82-F111)^1.81)</f>
        <v>1000</v>
      </c>
      <c r="G112" s="123">
        <f>TRUNC(5.74352*(28.5-G111)^1.92)</f>
        <v>1000</v>
      </c>
      <c r="H112" s="123">
        <f>TRUNC(12.91*(H111-4)^1.1)</f>
        <v>1000</v>
      </c>
      <c r="I112" s="123">
        <f>TRUNC(0.2797*(I111-100)^1.35)</f>
        <v>1001</v>
      </c>
      <c r="J112" s="123">
        <f>TRUNC(10.14*(J111-7)^1.08)</f>
        <v>1000</v>
      </c>
      <c r="K112" s="123">
        <f>TRUNC(0.03768*(480-K111)^1.85)</f>
        <v>1000</v>
      </c>
      <c r="L112" s="238"/>
      <c r="M112" s="124">
        <f>SUM(B112:K112)</f>
        <v>10003</v>
      </c>
      <c r="N112" s="125"/>
      <c r="O112" s="126"/>
      <c r="Q112" s="213"/>
      <c r="R112" s="214"/>
    </row>
    <row r="113" spans="1:14" ht="33.75" customHeight="1">
      <c r="A113" s="25" t="s">
        <v>67</v>
      </c>
      <c r="B113" s="113">
        <v>10.83</v>
      </c>
      <c r="C113" s="114">
        <v>736</v>
      </c>
      <c r="D113" s="115">
        <v>16.79</v>
      </c>
      <c r="E113" s="114">
        <v>211</v>
      </c>
      <c r="F113" s="115">
        <v>48.18</v>
      </c>
      <c r="G113" s="115">
        <v>14.59</v>
      </c>
      <c r="H113" s="115">
        <v>51.43</v>
      </c>
      <c r="I113" s="114">
        <v>496</v>
      </c>
      <c r="J113" s="115">
        <v>70.7</v>
      </c>
      <c r="K113" s="115">
        <v>247.4</v>
      </c>
      <c r="L113" s="236"/>
      <c r="M113" s="86"/>
      <c r="N113" s="87"/>
    </row>
    <row r="114" spans="1:18" s="102" customFormat="1" ht="26.25" customHeight="1">
      <c r="A114" s="93" t="s">
        <v>44</v>
      </c>
      <c r="B114" s="122">
        <f>TRUNC(25.4347*(18-B113)^1.81)</f>
        <v>899</v>
      </c>
      <c r="C114" s="123">
        <f>TRUNC(0.14354*(C113-220)^1.4)</f>
        <v>900</v>
      </c>
      <c r="D114" s="123">
        <f>TRUNC(51.39*(D113-1.5)^1.05)</f>
        <v>900</v>
      </c>
      <c r="E114" s="123">
        <f>TRUNC(0.84565*(E113-75)^1.42)</f>
        <v>905</v>
      </c>
      <c r="F114" s="123">
        <f>TRUNC(1.53775*(82-F113)^1.81)</f>
        <v>900</v>
      </c>
      <c r="G114" s="123">
        <f>TRUNC(5.74352*(28.5-G113)^1.92)</f>
        <v>900</v>
      </c>
      <c r="H114" s="123">
        <f>TRUNC(12.91*(H113-4)^1.1)</f>
        <v>900</v>
      </c>
      <c r="I114" s="123">
        <f>TRUNC(0.2797*(I113-100)^1.35)</f>
        <v>898</v>
      </c>
      <c r="J114" s="123">
        <f>TRUNC(10.14*(J113-7)^1.08)</f>
        <v>900</v>
      </c>
      <c r="K114" s="123">
        <f>TRUNC(0.03768*(480-K113)^1.85)</f>
        <v>900</v>
      </c>
      <c r="L114" s="238"/>
      <c r="M114" s="124">
        <f>SUM(B114:K114)</f>
        <v>9002</v>
      </c>
      <c r="N114" s="125"/>
      <c r="O114" s="126"/>
      <c r="Q114" s="213"/>
      <c r="R114" s="214"/>
    </row>
    <row r="115" spans="1:18" s="13" customFormat="1" ht="26.25" customHeight="1">
      <c r="A115" s="22" t="s">
        <v>68</v>
      </c>
      <c r="B115" s="127">
        <v>11.27</v>
      </c>
      <c r="C115" s="91">
        <v>694</v>
      </c>
      <c r="D115" s="128">
        <v>15.17</v>
      </c>
      <c r="E115" s="91">
        <v>200</v>
      </c>
      <c r="F115" s="128">
        <v>50.32</v>
      </c>
      <c r="G115" s="128">
        <v>15.41</v>
      </c>
      <c r="H115" s="128">
        <v>46.6</v>
      </c>
      <c r="I115" s="91">
        <v>463</v>
      </c>
      <c r="J115" s="128">
        <v>64.1</v>
      </c>
      <c r="K115" s="128">
        <v>261.7</v>
      </c>
      <c r="L115" s="225"/>
      <c r="M115" s="64"/>
      <c r="N115" s="65"/>
      <c r="O115" s="66"/>
      <c r="Q115" s="199"/>
      <c r="R115" s="200"/>
    </row>
    <row r="116" spans="1:18" s="13" customFormat="1" ht="26.25" customHeight="1">
      <c r="A116" s="93" t="s">
        <v>44</v>
      </c>
      <c r="B116" s="122">
        <f>TRUNC(25.4347*(18-B115)^1.81)</f>
        <v>801</v>
      </c>
      <c r="C116" s="123">
        <f>TRUNC(0.14354*(C115-220)^1.4)</f>
        <v>799</v>
      </c>
      <c r="D116" s="123">
        <f>TRUNC(51.39*(D115-1.5)^1.05)</f>
        <v>800</v>
      </c>
      <c r="E116" s="123">
        <f>TRUNC(0.84565*(E115-75)^1.42)</f>
        <v>803</v>
      </c>
      <c r="F116" s="123">
        <f>TRUNC(1.53775*(82-F115)^1.81)</f>
        <v>800</v>
      </c>
      <c r="G116" s="123">
        <f>TRUNC(5.74352*(28.5-G115)^1.92)</f>
        <v>801</v>
      </c>
      <c r="H116" s="123">
        <f>TRUNC(12.91*(H115-4)^1.1)</f>
        <v>800</v>
      </c>
      <c r="I116" s="123">
        <f>TRUNC(0.2797*(I115-100)^1.35)</f>
        <v>799</v>
      </c>
      <c r="J116" s="123">
        <f>TRUNC(10.14*(J115-7)^1.08)</f>
        <v>800</v>
      </c>
      <c r="K116" s="123">
        <f>TRUNC(0.03768*(480-K115)^1.85)</f>
        <v>800</v>
      </c>
      <c r="L116" s="238"/>
      <c r="M116" s="124">
        <f>SUM(B116:K116)</f>
        <v>8003</v>
      </c>
      <c r="N116" s="65"/>
      <c r="O116" s="66"/>
      <c r="Q116" s="199"/>
      <c r="R116" s="200"/>
    </row>
    <row r="117" spans="1:14" ht="33.75" customHeight="1">
      <c r="A117" s="25" t="s">
        <v>69</v>
      </c>
      <c r="B117" s="129">
        <v>12.816</v>
      </c>
      <c r="C117" s="114">
        <v>559</v>
      </c>
      <c r="D117" s="115">
        <v>10.24</v>
      </c>
      <c r="E117" s="130">
        <v>164.6</v>
      </c>
      <c r="F117" s="115">
        <v>57.55</v>
      </c>
      <c r="G117" s="115">
        <v>18.25</v>
      </c>
      <c r="H117" s="115">
        <v>31.8</v>
      </c>
      <c r="I117" s="130">
        <v>356.6</v>
      </c>
      <c r="J117" s="115">
        <v>44</v>
      </c>
      <c r="K117" s="115">
        <v>310.7</v>
      </c>
      <c r="L117" s="236"/>
      <c r="M117" s="86"/>
      <c r="N117" s="87"/>
    </row>
    <row r="118" spans="1:14" ht="26.25" customHeight="1">
      <c r="A118" s="131" t="s">
        <v>44</v>
      </c>
      <c r="B118" s="132">
        <f>TRUNC(25.4347*(18-B117)^1.81)</f>
        <v>500</v>
      </c>
      <c r="C118" s="133">
        <f>TRUNC(0.14354*(C117-220)^1.4)</f>
        <v>500</v>
      </c>
      <c r="D118" s="133">
        <f>TRUNC(51.39*(D117-1.5)^1.05)</f>
        <v>500</v>
      </c>
      <c r="E118" s="133">
        <f>TRUNC(0.84565*(E117-75)^1.42)</f>
        <v>500</v>
      </c>
      <c r="F118" s="133">
        <f>TRUNC(1.53775*(82-F117)^1.81)</f>
        <v>500</v>
      </c>
      <c r="G118" s="133">
        <f>TRUNC(5.74352*(28.5-G117)^1.92)</f>
        <v>500</v>
      </c>
      <c r="H118" s="133">
        <f>TRUNC(12.91*(H117-4)^1.1)</f>
        <v>500</v>
      </c>
      <c r="I118" s="133">
        <f>TRUNC(0.2797*(I117-100)^1.35)</f>
        <v>500</v>
      </c>
      <c r="J118" s="133">
        <f>TRUNC(10.14*(J117-7)^1.08)</f>
        <v>500</v>
      </c>
      <c r="K118" s="133">
        <f>TRUNC(0.03768*(480-K117)^1.85)</f>
        <v>500</v>
      </c>
      <c r="L118" s="239"/>
      <c r="M118" s="135">
        <f>SUM(B118:K118)</f>
        <v>5000</v>
      </c>
      <c r="N118" s="65"/>
    </row>
    <row r="119" spans="1:18" s="2" customFormat="1" ht="33.75" customHeight="1">
      <c r="A119" s="2" t="s">
        <v>70</v>
      </c>
      <c r="B119" s="136">
        <v>17.76</v>
      </c>
      <c r="C119" s="91">
        <v>225</v>
      </c>
      <c r="D119" s="137">
        <v>1.53</v>
      </c>
      <c r="E119" s="91">
        <v>77</v>
      </c>
      <c r="F119" s="137">
        <v>81.21</v>
      </c>
      <c r="G119" s="137">
        <v>28</v>
      </c>
      <c r="H119" s="137">
        <v>4.1</v>
      </c>
      <c r="I119" s="91">
        <v>103</v>
      </c>
      <c r="J119" s="137">
        <v>7.2</v>
      </c>
      <c r="K119" s="137">
        <v>474.11</v>
      </c>
      <c r="L119" s="232"/>
      <c r="M119" s="86"/>
      <c r="N119" s="87"/>
      <c r="O119" s="3"/>
      <c r="Q119" s="201"/>
      <c r="R119" s="202"/>
    </row>
    <row r="120" spans="1:18" s="134" customFormat="1" ht="26.25" customHeight="1">
      <c r="A120" s="131" t="s">
        <v>71</v>
      </c>
      <c r="B120" s="132">
        <f>TRUNC(25.4347*(18-B119)^1.81)</f>
        <v>1</v>
      </c>
      <c r="C120" s="133">
        <f>TRUNC(0.14354*(C119-220)^1.4)</f>
        <v>1</v>
      </c>
      <c r="D120" s="133">
        <f>TRUNC(51.39*(D119-1.5)^1.05)</f>
        <v>1</v>
      </c>
      <c r="E120" s="133">
        <f>TRUNC(0.84565*(E119-75)^1.42)</f>
        <v>2</v>
      </c>
      <c r="F120" s="133">
        <f>TRUNC(1.53775*(82-F119)^1.81)</f>
        <v>1</v>
      </c>
      <c r="G120" s="133">
        <f>TRUNC(5.74352*(28.5-G119)^1.92)</f>
        <v>1</v>
      </c>
      <c r="H120" s="133">
        <f>TRUNC(12.91*(H119-4)^1.1)</f>
        <v>1</v>
      </c>
      <c r="I120" s="133">
        <f>TRUNC(0.2797*(I119-100)^1.35)</f>
        <v>1</v>
      </c>
      <c r="J120" s="133">
        <f>TRUNC(10.14*(J119-7)^1.08)</f>
        <v>1</v>
      </c>
      <c r="K120" s="133">
        <f>TRUNC(0.03768*(480-K119)^1.85)</f>
        <v>1</v>
      </c>
      <c r="L120" s="239"/>
      <c r="M120" s="135">
        <f>SUM(B120:K120)</f>
        <v>11</v>
      </c>
      <c r="N120" s="138"/>
      <c r="O120" s="139"/>
      <c r="Q120" s="215"/>
      <c r="R120" s="216"/>
    </row>
    <row r="121" ht="33.75" customHeight="1">
      <c r="A121" s="140"/>
    </row>
    <row r="122" spans="2:14" ht="32.25" customHeight="1">
      <c r="B122" s="82" t="s">
        <v>0</v>
      </c>
      <c r="C122" s="83" t="s">
        <v>1</v>
      </c>
      <c r="D122" s="83" t="s">
        <v>2</v>
      </c>
      <c r="E122" s="83" t="s">
        <v>3</v>
      </c>
      <c r="F122" s="83" t="s">
        <v>4</v>
      </c>
      <c r="G122" s="83" t="s">
        <v>5</v>
      </c>
      <c r="H122" s="83" t="s">
        <v>6</v>
      </c>
      <c r="I122" s="83" t="s">
        <v>7</v>
      </c>
      <c r="J122" s="83" t="s">
        <v>8</v>
      </c>
      <c r="K122" s="83" t="s">
        <v>9</v>
      </c>
      <c r="M122" s="106" t="s">
        <v>72</v>
      </c>
      <c r="N122" s="107"/>
    </row>
    <row r="123" spans="1:14" ht="18">
      <c r="A123" t="s">
        <v>73</v>
      </c>
      <c r="B123" s="141">
        <v>14.4</v>
      </c>
      <c r="C123" s="142">
        <v>423</v>
      </c>
      <c r="D123" s="143">
        <v>8</v>
      </c>
      <c r="E123" s="142">
        <v>130</v>
      </c>
      <c r="F123" s="143">
        <v>69.9</v>
      </c>
      <c r="G123" s="143">
        <v>19.72</v>
      </c>
      <c r="H123" s="143">
        <v>21</v>
      </c>
      <c r="I123" s="142">
        <v>250</v>
      </c>
      <c r="J123" s="143">
        <v>29</v>
      </c>
      <c r="K123" s="141">
        <v>343.7</v>
      </c>
      <c r="L123" s="240"/>
      <c r="M123" s="106"/>
      <c r="N123" s="107"/>
    </row>
    <row r="124" spans="1:14" ht="18">
      <c r="A124" t="s">
        <v>74</v>
      </c>
      <c r="B124" s="105">
        <v>0.8633000000000001</v>
      </c>
      <c r="C124" s="105">
        <v>1.3417</v>
      </c>
      <c r="D124" s="105">
        <v>1.2736</v>
      </c>
      <c r="E124" s="105">
        <v>1.2947</v>
      </c>
      <c r="F124" s="105">
        <v>0.8433</v>
      </c>
      <c r="G124" s="145">
        <v>0.9085000000000001</v>
      </c>
      <c r="H124" s="105">
        <v>1.0984</v>
      </c>
      <c r="I124" s="105">
        <v>1.3628</v>
      </c>
      <c r="J124" s="105">
        <v>1.4059</v>
      </c>
      <c r="K124" s="110">
        <v>0.8181</v>
      </c>
      <c r="M124" s="106"/>
      <c r="N124" s="107"/>
    </row>
    <row r="125" spans="1:14" ht="15">
      <c r="A125" s="93" t="s">
        <v>75</v>
      </c>
      <c r="B125" s="146">
        <f aca="true" t="shared" si="0" ref="B125:K125">B124*B123</f>
        <v>12.43152</v>
      </c>
      <c r="C125" s="147">
        <f t="shared" si="0"/>
        <v>567.5391</v>
      </c>
      <c r="D125" s="148">
        <f t="shared" si="0"/>
        <v>10.1888</v>
      </c>
      <c r="E125" s="147">
        <f t="shared" si="0"/>
        <v>168.311</v>
      </c>
      <c r="F125" s="149">
        <f t="shared" si="0"/>
        <v>58.94667000000001</v>
      </c>
      <c r="G125" s="148">
        <f t="shared" si="0"/>
        <v>17.91562</v>
      </c>
      <c r="H125" s="148">
        <f t="shared" si="0"/>
        <v>23.0664</v>
      </c>
      <c r="I125" s="150">
        <f t="shared" si="0"/>
        <v>340.7</v>
      </c>
      <c r="J125" s="148">
        <f t="shared" si="0"/>
        <v>40.7711</v>
      </c>
      <c r="K125" s="146">
        <f t="shared" si="0"/>
        <v>281.18097</v>
      </c>
      <c r="L125" s="241"/>
      <c r="M125" s="86"/>
      <c r="N125" s="87"/>
    </row>
    <row r="126" spans="1:18" s="155" customFormat="1" ht="18">
      <c r="A126" s="152" t="s">
        <v>76</v>
      </c>
      <c r="B126" s="153">
        <f>TRUNC(25.4347*(18-B125)^1.81)</f>
        <v>569</v>
      </c>
      <c r="C126" s="154">
        <f>TRUNC(0.14354*(C125-220)^1.4)</f>
        <v>518</v>
      </c>
      <c r="D126" s="154">
        <f>TRUNC(51.39*(D125-1.5)^1.05)</f>
        <v>497</v>
      </c>
      <c r="E126" s="154">
        <f>TRUNC(0.84565*(E125-75)^1.42)</f>
        <v>530</v>
      </c>
      <c r="F126" s="154">
        <f>TRUNC(1.53775*(82-F125)^1.81)</f>
        <v>450</v>
      </c>
      <c r="G126" s="154">
        <f>TRUNC(5.74352*(28.5-G125)^1.92)</f>
        <v>532</v>
      </c>
      <c r="H126" s="154">
        <f>TRUNC(12.91*(H125-4)^1.1)</f>
        <v>330</v>
      </c>
      <c r="I126" s="154">
        <f>TRUNC(0.2797*(I125-100)^1.35)</f>
        <v>458</v>
      </c>
      <c r="J126" s="154">
        <f>TRUNC(10.14*(J125-7)^1.08)</f>
        <v>453</v>
      </c>
      <c r="K126" s="220">
        <f>TRUNC(0.03768*(480-K125)^1.85)</f>
        <v>673</v>
      </c>
      <c r="L126" s="242"/>
      <c r="M126" s="156">
        <f>SUM(B126:K126)</f>
        <v>5010</v>
      </c>
      <c r="N126" s="157"/>
      <c r="O126" s="158"/>
      <c r="Q126" s="217"/>
      <c r="R126" s="218"/>
    </row>
    <row r="127" spans="1:14" ht="18">
      <c r="A127" t="s">
        <v>77</v>
      </c>
      <c r="B127" s="141">
        <v>20.6</v>
      </c>
      <c r="C127" s="142">
        <v>167</v>
      </c>
      <c r="D127" s="143">
        <v>1.21</v>
      </c>
      <c r="E127" s="142">
        <v>59</v>
      </c>
      <c r="F127" s="143">
        <v>96</v>
      </c>
      <c r="G127" s="143">
        <v>30.8</v>
      </c>
      <c r="H127" s="143">
        <v>3.74</v>
      </c>
      <c r="I127" s="142">
        <v>76</v>
      </c>
      <c r="J127" s="143">
        <v>5.1</v>
      </c>
      <c r="K127" s="141">
        <v>579.53</v>
      </c>
      <c r="L127" s="240"/>
      <c r="M127" s="106"/>
      <c r="N127" s="107"/>
    </row>
    <row r="128" spans="1:14" ht="18">
      <c r="A128" t="s">
        <v>78</v>
      </c>
      <c r="B128" s="105">
        <v>0.8633000000000001</v>
      </c>
      <c r="C128" s="105">
        <v>1.3417</v>
      </c>
      <c r="D128" s="105">
        <v>1.2736</v>
      </c>
      <c r="E128" s="105">
        <v>1.2947</v>
      </c>
      <c r="F128" s="105">
        <v>0.8433</v>
      </c>
      <c r="G128" s="145">
        <v>0.9085000000000001</v>
      </c>
      <c r="H128" s="105">
        <v>1.0984</v>
      </c>
      <c r="I128" s="105">
        <v>1.3628</v>
      </c>
      <c r="J128" s="105">
        <v>1.4059</v>
      </c>
      <c r="K128" s="110">
        <v>0.8181</v>
      </c>
      <c r="M128" s="106"/>
      <c r="N128" s="107"/>
    </row>
    <row r="129" spans="1:14" ht="15">
      <c r="A129" s="93" t="s">
        <v>79</v>
      </c>
      <c r="B129" s="146">
        <f aca="true" t="shared" si="1" ref="B129:K129">B128*B127</f>
        <v>17.783980000000003</v>
      </c>
      <c r="C129" s="147">
        <f t="shared" si="1"/>
        <v>224.0639</v>
      </c>
      <c r="D129" s="148">
        <f t="shared" si="1"/>
        <v>1.541056</v>
      </c>
      <c r="E129" s="147">
        <f t="shared" si="1"/>
        <v>76.3873</v>
      </c>
      <c r="F129" s="149">
        <f t="shared" si="1"/>
        <v>80.9568</v>
      </c>
      <c r="G129" s="148">
        <f t="shared" si="1"/>
        <v>27.981800000000003</v>
      </c>
      <c r="H129" s="148">
        <f t="shared" si="1"/>
        <v>4.108016</v>
      </c>
      <c r="I129" s="150">
        <f t="shared" si="1"/>
        <v>103.5728</v>
      </c>
      <c r="J129" s="148">
        <f t="shared" si="1"/>
        <v>7.170089999999999</v>
      </c>
      <c r="K129" s="146">
        <f t="shared" si="1"/>
        <v>474.113493</v>
      </c>
      <c r="L129" s="241"/>
      <c r="M129" s="86"/>
      <c r="N129" s="87"/>
    </row>
    <row r="130" spans="1:14" ht="18">
      <c r="A130" s="25" t="s">
        <v>76</v>
      </c>
      <c r="B130" s="104">
        <f>TRUNC(25.4347*(18-B129)^1.81)</f>
        <v>1</v>
      </c>
      <c r="C130" s="159">
        <f>TRUNC(0.14354*(C129-220)^1.4)</f>
        <v>1</v>
      </c>
      <c r="D130" s="159">
        <f>TRUNC(51.39*(D129-1.5)^1.05)</f>
        <v>1</v>
      </c>
      <c r="E130" s="159">
        <f>TRUNC(0.84565*(E129-75)^1.42)</f>
        <v>1</v>
      </c>
      <c r="F130" s="159">
        <f>TRUNC(1.53775*(82-F129)^1.81)</f>
        <v>1</v>
      </c>
      <c r="G130" s="159">
        <f>TRUNC(5.74352*(28.5-G129)^1.92)</f>
        <v>1</v>
      </c>
      <c r="H130" s="159">
        <f>TRUNC(12.91*(H129-4)^1.1)</f>
        <v>1</v>
      </c>
      <c r="I130" s="159">
        <f>TRUNC(0.2797*(I129-100)^1.35)</f>
        <v>1</v>
      </c>
      <c r="J130" s="159">
        <f>TRUNC(10.14*(J129-7)^1.08)</f>
        <v>1</v>
      </c>
      <c r="K130" s="221">
        <f>TRUNC(0.03768*(480-K129)^1.85)</f>
        <v>1</v>
      </c>
      <c r="M130" s="67">
        <f>SUM(B130:K130)</f>
        <v>10</v>
      </c>
      <c r="N130" s="68"/>
    </row>
    <row r="131" spans="1:14" ht="18">
      <c r="A131" s="25"/>
      <c r="B131" s="50"/>
      <c r="C131" s="91"/>
      <c r="D131" s="91"/>
      <c r="E131" s="91"/>
      <c r="F131" s="91"/>
      <c r="G131" s="91"/>
      <c r="H131" s="91"/>
      <c r="I131" s="91"/>
      <c r="J131" s="91"/>
      <c r="K131" s="91"/>
      <c r="M131" s="67"/>
      <c r="N131" s="68"/>
    </row>
    <row r="132" spans="1:14" ht="18">
      <c r="A132" s="100"/>
      <c r="B132" s="101"/>
      <c r="C132" s="102"/>
      <c r="D132" s="102"/>
      <c r="E132" s="102"/>
      <c r="F132" s="102"/>
      <c r="G132" s="102"/>
      <c r="H132" s="102"/>
      <c r="I132" s="102"/>
      <c r="J132" s="102" t="s">
        <v>53</v>
      </c>
      <c r="K132" s="102"/>
      <c r="M132" s="67"/>
      <c r="N132" s="68"/>
    </row>
    <row r="133" spans="1:11" ht="32.25" customHeight="1">
      <c r="A133" s="103" t="s">
        <v>80</v>
      </c>
      <c r="B133" s="104"/>
      <c r="C133" s="91"/>
      <c r="D133" s="91"/>
      <c r="E133" s="91"/>
      <c r="F133" s="91"/>
      <c r="G133" s="91"/>
      <c r="H133" s="91"/>
      <c r="I133" s="91"/>
      <c r="J133" s="91"/>
      <c r="K133" s="91"/>
    </row>
    <row r="134" spans="2:11" ht="30.75" customHeight="1">
      <c r="B134" s="82" t="s">
        <v>0</v>
      </c>
      <c r="C134" s="83" t="s">
        <v>1</v>
      </c>
      <c r="D134" s="83" t="s">
        <v>2</v>
      </c>
      <c r="E134" s="83" t="s">
        <v>3</v>
      </c>
      <c r="F134" s="83" t="s">
        <v>4</v>
      </c>
      <c r="G134" s="83" t="s">
        <v>5</v>
      </c>
      <c r="H134" s="83" t="s">
        <v>6</v>
      </c>
      <c r="I134" s="83" t="s">
        <v>7</v>
      </c>
      <c r="J134" s="83" t="s">
        <v>8</v>
      </c>
      <c r="K134" s="83" t="s">
        <v>9</v>
      </c>
    </row>
    <row r="135" spans="1:11" ht="12.75">
      <c r="A135" s="109" t="s">
        <v>81</v>
      </c>
      <c r="B135" s="105" t="s">
        <v>82</v>
      </c>
      <c r="C135" s="105" t="s">
        <v>82</v>
      </c>
      <c r="D135" s="105" t="s">
        <v>82</v>
      </c>
      <c r="E135" s="105" t="s">
        <v>82</v>
      </c>
      <c r="F135" s="105" t="s">
        <v>82</v>
      </c>
      <c r="G135" s="105" t="s">
        <v>82</v>
      </c>
      <c r="H135" s="105" t="s">
        <v>82</v>
      </c>
      <c r="I135" s="105" t="s">
        <v>82</v>
      </c>
      <c r="J135" s="105" t="s">
        <v>82</v>
      </c>
      <c r="K135" s="110" t="s">
        <v>82</v>
      </c>
    </row>
    <row r="136" spans="1:11" ht="12.75">
      <c r="A136" s="101"/>
      <c r="B136" s="160" t="s">
        <v>83</v>
      </c>
      <c r="C136" s="160" t="s">
        <v>83</v>
      </c>
      <c r="D136" s="160" t="s">
        <v>83</v>
      </c>
      <c r="E136" s="160" t="s">
        <v>83</v>
      </c>
      <c r="F136" s="160" t="s">
        <v>83</v>
      </c>
      <c r="G136" s="160" t="s">
        <v>83</v>
      </c>
      <c r="H136" s="160" t="s">
        <v>83</v>
      </c>
      <c r="I136" s="160" t="s">
        <v>83</v>
      </c>
      <c r="J136" s="160" t="s">
        <v>83</v>
      </c>
      <c r="K136" s="222" t="s">
        <v>83</v>
      </c>
    </row>
    <row r="137" spans="1:11" ht="12.75">
      <c r="A137" s="2">
        <v>35</v>
      </c>
      <c r="B137" s="105">
        <v>0.9893000000000001</v>
      </c>
      <c r="C137" s="105">
        <v>1.051</v>
      </c>
      <c r="D137" s="105">
        <v>1</v>
      </c>
      <c r="E137" s="105">
        <v>1.0546</v>
      </c>
      <c r="F137" s="105">
        <v>0.9702000000000001</v>
      </c>
      <c r="G137" s="145">
        <v>0.9999</v>
      </c>
      <c r="H137" s="105">
        <v>1</v>
      </c>
      <c r="I137" s="105">
        <v>1.039</v>
      </c>
      <c r="J137" s="105">
        <v>1.0434</v>
      </c>
      <c r="K137" s="110">
        <v>0.9872000000000001</v>
      </c>
    </row>
    <row r="138" spans="1:14" ht="18" customHeight="1">
      <c r="A138" s="2"/>
      <c r="B138" s="161">
        <f>T100m/B137</f>
        <v>12.954614373799656</v>
      </c>
      <c r="C138" s="162">
        <f>TPituus/C137</f>
        <v>531.8744053282588</v>
      </c>
      <c r="D138" s="161">
        <f>TKuula/D137</f>
        <v>10.24</v>
      </c>
      <c r="E138" s="162">
        <f>TKorkeus/E137</f>
        <v>156.0781338896264</v>
      </c>
      <c r="F138" s="161">
        <f>T400m/F137</f>
        <v>59.3176664605236</v>
      </c>
      <c r="G138" s="163">
        <f>TAidat/G137</f>
        <v>18.251825182518253</v>
      </c>
      <c r="H138" s="161">
        <f>TKiekko/H137</f>
        <v>31.8</v>
      </c>
      <c r="I138" s="162">
        <f>TSeiväs/I137</f>
        <v>343.21462945139564</v>
      </c>
      <c r="J138" s="161">
        <f>TKeihäs/J137</f>
        <v>42.16982940387195</v>
      </c>
      <c r="K138" s="223">
        <f>T1500m/K137</f>
        <v>314.7285251215559</v>
      </c>
      <c r="M138" s="67"/>
      <c r="N138" s="68"/>
    </row>
    <row r="139" spans="1:14" ht="18">
      <c r="A139" s="2">
        <v>40</v>
      </c>
      <c r="B139" s="105">
        <v>0.9545</v>
      </c>
      <c r="C139" s="105">
        <v>1.1112</v>
      </c>
      <c r="D139" s="105">
        <v>1.0271</v>
      </c>
      <c r="E139" s="105">
        <v>1.1059</v>
      </c>
      <c r="F139" s="105">
        <v>0.935</v>
      </c>
      <c r="G139" s="145">
        <v>0.9562</v>
      </c>
      <c r="H139" s="105">
        <v>1</v>
      </c>
      <c r="I139" s="105">
        <v>1.1046</v>
      </c>
      <c r="J139" s="105">
        <v>1.1283</v>
      </c>
      <c r="K139" s="110">
        <v>0.9387000000000001</v>
      </c>
      <c r="M139" s="106" t="s">
        <v>72</v>
      </c>
      <c r="N139" s="107"/>
    </row>
    <row r="140" spans="1:11" ht="22.5" customHeight="1">
      <c r="A140" s="2"/>
      <c r="B140" s="161">
        <f>T100m/B139</f>
        <v>13.426925091671032</v>
      </c>
      <c r="C140" s="162">
        <f>TPituus/C139</f>
        <v>503.0597552195824</v>
      </c>
      <c r="D140" s="161">
        <f>TKuula/D139</f>
        <v>9.969817933988901</v>
      </c>
      <c r="E140" s="162">
        <f>TKorkeus/E139</f>
        <v>148.83805045664164</v>
      </c>
      <c r="F140" s="161">
        <f>T400m/F139</f>
        <v>61.55080213903743</v>
      </c>
      <c r="G140" s="163">
        <f>TAidat/G139</f>
        <v>19.085965279230287</v>
      </c>
      <c r="H140" s="161">
        <f>TKiekko/H139</f>
        <v>31.8</v>
      </c>
      <c r="I140" s="162">
        <f>TSeiväs/I139</f>
        <v>322.8317943146841</v>
      </c>
      <c r="J140" s="161">
        <f>TKeihäs/J139</f>
        <v>38.99672073030222</v>
      </c>
      <c r="K140" s="223">
        <f>T1500m/K139</f>
        <v>330.9896665601363</v>
      </c>
    </row>
    <row r="141" spans="1:11" ht="19.5" customHeight="1">
      <c r="A141" s="2">
        <v>45</v>
      </c>
      <c r="B141" s="105">
        <v>0.922</v>
      </c>
      <c r="C141" s="105">
        <v>1.1787</v>
      </c>
      <c r="D141" s="105">
        <v>1.1131</v>
      </c>
      <c r="E141" s="105">
        <v>1.1624</v>
      </c>
      <c r="F141" s="105">
        <v>0.9023</v>
      </c>
      <c r="G141" s="145">
        <v>0.9168000000000001</v>
      </c>
      <c r="H141" s="105">
        <v>1.0499</v>
      </c>
      <c r="I141" s="105">
        <v>1.1791</v>
      </c>
      <c r="J141" s="105">
        <v>1.2283</v>
      </c>
      <c r="K141" s="110">
        <v>0.8947</v>
      </c>
    </row>
    <row r="142" spans="1:11" ht="18" customHeight="1">
      <c r="A142" s="2"/>
      <c r="B142" s="161">
        <f>T100m/B141</f>
        <v>13.900216919739696</v>
      </c>
      <c r="C142" s="162">
        <f>TPituus/C141</f>
        <v>474.2512937982523</v>
      </c>
      <c r="D142" s="161">
        <f>TKuula/D141</f>
        <v>9.199532836223161</v>
      </c>
      <c r="E142" s="162">
        <f>TKorkeus/E141</f>
        <v>141.6035788024776</v>
      </c>
      <c r="F142" s="161">
        <f>T400m/F141</f>
        <v>63.7814474121689</v>
      </c>
      <c r="G142" s="163">
        <f>TAidat/G141</f>
        <v>19.906195462478184</v>
      </c>
      <c r="H142" s="161">
        <f>TKiekko/H141</f>
        <v>30.2885989141823</v>
      </c>
      <c r="I142" s="162">
        <f>TSeiväs/I141</f>
        <v>302.4340598761768</v>
      </c>
      <c r="J142" s="161">
        <f>TKeihäs/J141</f>
        <v>35.821867621916475</v>
      </c>
      <c r="K142" s="223">
        <f>T1500m/K141</f>
        <v>347.26724041578177</v>
      </c>
    </row>
    <row r="143" spans="1:11" ht="18" customHeight="1">
      <c r="A143" s="2">
        <v>50</v>
      </c>
      <c r="B143" s="105">
        <v>0.8917</v>
      </c>
      <c r="C143" s="105">
        <v>1.2549000000000001</v>
      </c>
      <c r="D143" s="105">
        <v>1.1468</v>
      </c>
      <c r="E143" s="105">
        <v>1.225</v>
      </c>
      <c r="F143" s="105">
        <v>0.8718</v>
      </c>
      <c r="G143" s="145">
        <v>0.9745</v>
      </c>
      <c r="H143" s="105">
        <v>1</v>
      </c>
      <c r="I143" s="105">
        <v>1.2643</v>
      </c>
      <c r="J143" s="105">
        <v>1.279</v>
      </c>
      <c r="K143" s="110">
        <v>0.8547</v>
      </c>
    </row>
    <row r="144" spans="1:11" ht="24" customHeight="1">
      <c r="A144" s="2"/>
      <c r="B144" s="161">
        <f>T100m/B143</f>
        <v>14.3725468206796</v>
      </c>
      <c r="C144" s="162">
        <f>TPituus/C143</f>
        <v>445.4538210215953</v>
      </c>
      <c r="D144" s="161">
        <f>TKuula/D143</f>
        <v>8.929194279734915</v>
      </c>
      <c r="E144" s="162">
        <f>TKorkeus/E143</f>
        <v>134.36734693877548</v>
      </c>
      <c r="F144" s="161">
        <f>T400m/F143</f>
        <v>66.01284698325304</v>
      </c>
      <c r="G144" s="163">
        <f>TAidat/G143</f>
        <v>18.727552591072346</v>
      </c>
      <c r="H144" s="161">
        <f>TKiekko/H143</f>
        <v>31.8</v>
      </c>
      <c r="I144" s="162">
        <f>TSeiväs/I143</f>
        <v>282.05331013208894</v>
      </c>
      <c r="J144" s="161">
        <f>TKeihäs/J143</f>
        <v>34.401876465989055</v>
      </c>
      <c r="K144" s="223">
        <f>T1500m/K143</f>
        <v>363.5193635193635</v>
      </c>
    </row>
    <row r="145" spans="1:11" ht="12.75">
      <c r="A145" s="2">
        <v>55</v>
      </c>
      <c r="B145" s="105">
        <v>0.8633000000000001</v>
      </c>
      <c r="C145" s="105">
        <v>1.3417</v>
      </c>
      <c r="D145" s="105">
        <v>1.2736</v>
      </c>
      <c r="E145" s="105">
        <v>1.2947</v>
      </c>
      <c r="F145" s="105">
        <v>0.8433</v>
      </c>
      <c r="G145" s="145">
        <v>0.9085000000000001</v>
      </c>
      <c r="H145" s="105">
        <v>1.0984</v>
      </c>
      <c r="I145" s="105">
        <v>1.3628</v>
      </c>
      <c r="J145" s="105">
        <v>1.4059</v>
      </c>
      <c r="K145" s="110">
        <v>0.8181</v>
      </c>
    </row>
    <row r="146" spans="1:11" ht="16.5" customHeight="1">
      <c r="A146" s="2"/>
      <c r="B146" s="161">
        <f>T100m/B145</f>
        <v>14.845360824742269</v>
      </c>
      <c r="C146" s="162">
        <f>TPituus/C145</f>
        <v>416.63561153760156</v>
      </c>
      <c r="D146" s="161">
        <f>TKuula/D145</f>
        <v>8.040201005025125</v>
      </c>
      <c r="E146" s="162">
        <f>TKorkeus/E145</f>
        <v>127.13369892639221</v>
      </c>
      <c r="F146" s="161">
        <f>T400m/F145</f>
        <v>68.24380410292896</v>
      </c>
      <c r="G146" s="163">
        <f>TAidat/G145</f>
        <v>20.088057237204183</v>
      </c>
      <c r="H146" s="161">
        <f>TKiekko/H145</f>
        <v>28.951201747997086</v>
      </c>
      <c r="I146" s="162">
        <f>TSeiväs/I145</f>
        <v>261.66715585559143</v>
      </c>
      <c r="J146" s="161">
        <f>TKeihäs/J145</f>
        <v>31.296678284373</v>
      </c>
      <c r="K146" s="223">
        <f>T1500m/K145</f>
        <v>379.78242268671306</v>
      </c>
    </row>
    <row r="147" spans="1:11" ht="12.75">
      <c r="A147" s="2">
        <v>60</v>
      </c>
      <c r="B147" s="105">
        <v>0.8367</v>
      </c>
      <c r="C147" s="105">
        <v>1.4414</v>
      </c>
      <c r="D147" s="105">
        <v>1.2703</v>
      </c>
      <c r="E147" s="105">
        <v>1.3728</v>
      </c>
      <c r="F147" s="105">
        <v>0.8166</v>
      </c>
      <c r="G147" s="145">
        <v>0.9017000000000001</v>
      </c>
      <c r="H147" s="105">
        <v>1.1232</v>
      </c>
      <c r="I147" s="105">
        <v>1.478</v>
      </c>
      <c r="J147" s="105">
        <v>1.4804</v>
      </c>
      <c r="K147" s="110">
        <v>0.7845000000000001</v>
      </c>
    </row>
    <row r="148" spans="1:11" ht="24" customHeight="1">
      <c r="A148" s="2"/>
      <c r="B148" s="161">
        <f>T100m/B147</f>
        <v>15.317318035138044</v>
      </c>
      <c r="C148" s="162">
        <f>TPituus/C147</f>
        <v>387.8173997502428</v>
      </c>
      <c r="D148" s="161">
        <f>TKuula/D147</f>
        <v>8.06108793198457</v>
      </c>
      <c r="E148" s="162">
        <f>TKorkeus/E147</f>
        <v>119.90093240093239</v>
      </c>
      <c r="F148" s="161">
        <f>T400m/F147</f>
        <v>70.47514082782267</v>
      </c>
      <c r="G148" s="163">
        <f>TAidat/G147</f>
        <v>20.239547521348562</v>
      </c>
      <c r="H148" s="161">
        <f>TKiekko/H147</f>
        <v>28.311965811965813</v>
      </c>
      <c r="I148" s="162">
        <f>TSeiväs/I147</f>
        <v>241.27198917456025</v>
      </c>
      <c r="J148" s="161">
        <f>TKeihäs/J147</f>
        <v>29.721696838692246</v>
      </c>
      <c r="K148" s="223">
        <f>T1500m/K147</f>
        <v>396.04843849585717</v>
      </c>
    </row>
    <row r="149" spans="1:11" ht="12.75">
      <c r="A149" s="2">
        <v>65</v>
      </c>
      <c r="B149" s="105">
        <v>0.8117000000000001</v>
      </c>
      <c r="C149" s="105">
        <v>1.557</v>
      </c>
      <c r="D149" s="105">
        <v>1.4719</v>
      </c>
      <c r="E149" s="105">
        <v>1.461</v>
      </c>
      <c r="F149" s="105">
        <v>0.7916000000000001</v>
      </c>
      <c r="G149" s="145">
        <v>0.8326</v>
      </c>
      <c r="H149" s="105">
        <v>1.2514</v>
      </c>
      <c r="I149" s="105">
        <v>1.6144</v>
      </c>
      <c r="J149" s="105">
        <v>1.6496</v>
      </c>
      <c r="K149" s="110">
        <v>0.7536</v>
      </c>
    </row>
    <row r="150" spans="1:11" ht="20.25" customHeight="1">
      <c r="A150" s="2"/>
      <c r="B150" s="161">
        <f>T100m/B149</f>
        <v>15.789084637181224</v>
      </c>
      <c r="C150" s="162">
        <f>TPituus/C149</f>
        <v>359.0237636480411</v>
      </c>
      <c r="D150" s="161">
        <f>TKuula/D149</f>
        <v>6.956994361029961</v>
      </c>
      <c r="E150" s="162">
        <f>TKorkeus/E149</f>
        <v>112.66255989048597</v>
      </c>
      <c r="F150" s="161">
        <f>T400m/F149</f>
        <v>72.70085901970691</v>
      </c>
      <c r="G150" s="163">
        <f>TAidat/G149</f>
        <v>21.91928897429738</v>
      </c>
      <c r="H150" s="161">
        <f>TKiekko/H149</f>
        <v>25.411539076234618</v>
      </c>
      <c r="I150" s="162">
        <f>TSeiväs/I149</f>
        <v>220.88701684836474</v>
      </c>
      <c r="J150" s="161">
        <f>TKeihäs/J149</f>
        <v>26.67313288069835</v>
      </c>
      <c r="K150" s="223">
        <f>T1500m/K149</f>
        <v>412.2876857749469</v>
      </c>
    </row>
    <row r="151" spans="1:14" ht="12.75">
      <c r="A151" s="2">
        <v>70</v>
      </c>
      <c r="B151" s="105">
        <v>0.7881</v>
      </c>
      <c r="C151" s="105">
        <v>1.6929</v>
      </c>
      <c r="D151" s="105">
        <v>1.3017</v>
      </c>
      <c r="E151" s="105">
        <v>1.5613000000000001</v>
      </c>
      <c r="F151" s="105">
        <v>0.7319</v>
      </c>
      <c r="G151" s="145">
        <v>0.9938</v>
      </c>
      <c r="H151" s="105">
        <v>1.4127</v>
      </c>
      <c r="I151" s="105">
        <v>1.7786</v>
      </c>
      <c r="J151" s="105">
        <v>1.7461</v>
      </c>
      <c r="K151" s="110">
        <v>0.723</v>
      </c>
      <c r="M151" s="108" t="s">
        <v>84</v>
      </c>
      <c r="N151" s="87"/>
    </row>
    <row r="152" spans="1:11" ht="18.75" customHeight="1">
      <c r="A152" s="2"/>
      <c r="B152" s="161">
        <f>T100m/B151</f>
        <v>16.261895698515417</v>
      </c>
      <c r="C152" s="162">
        <f>TPituus/C151</f>
        <v>330.20261090436526</v>
      </c>
      <c r="D152" s="161">
        <f>TKuula/D151</f>
        <v>7.866635937620035</v>
      </c>
      <c r="E152" s="162">
        <f>TKorkeus/E151</f>
        <v>105.42496637417536</v>
      </c>
      <c r="F152" s="161">
        <f>T400m/F151</f>
        <v>78.63096051373138</v>
      </c>
      <c r="G152" s="163">
        <f>TAidat/G151</f>
        <v>18.36385590662105</v>
      </c>
      <c r="H152" s="161">
        <f>TKiekko/H151</f>
        <v>22.5100870673179</v>
      </c>
      <c r="I152" s="162">
        <f>TSeiväs/I151</f>
        <v>200.49477116833467</v>
      </c>
      <c r="J152" s="161">
        <f>TKeihäs/J151</f>
        <v>25.199014947597504</v>
      </c>
      <c r="K152" s="223">
        <f>T1500m/K151</f>
        <v>429.7372060857538</v>
      </c>
    </row>
    <row r="153" spans="1:11" ht="12.75">
      <c r="A153" s="2">
        <v>75</v>
      </c>
      <c r="B153" s="105">
        <v>0.7417</v>
      </c>
      <c r="C153" s="105">
        <v>1.8546</v>
      </c>
      <c r="D153" s="105">
        <v>1.5043</v>
      </c>
      <c r="E153" s="105">
        <v>1.6763</v>
      </c>
      <c r="F153" s="105">
        <v>0.6643</v>
      </c>
      <c r="G153" s="145">
        <v>0.9437000000000001</v>
      </c>
      <c r="H153" s="105">
        <v>1.6217000000000001</v>
      </c>
      <c r="I153" s="105">
        <v>1.98</v>
      </c>
      <c r="J153" s="105">
        <v>2.0098</v>
      </c>
      <c r="K153" s="110">
        <v>0.6686000000000001</v>
      </c>
    </row>
    <row r="154" spans="1:11" ht="18.75" customHeight="1">
      <c r="A154" s="2"/>
      <c r="B154" s="161">
        <f>T100m/B153</f>
        <v>17.27922340568963</v>
      </c>
      <c r="C154" s="162">
        <f>TPituus/C153</f>
        <v>301.4127035479349</v>
      </c>
      <c r="D154" s="161">
        <f>TKuula/D153</f>
        <v>6.8071528285581335</v>
      </c>
      <c r="E154" s="162">
        <f>TKorkeus/E153</f>
        <v>98.19244765256816</v>
      </c>
      <c r="F154" s="161">
        <f>T400m/F153</f>
        <v>86.63254553665512</v>
      </c>
      <c r="G154" s="163">
        <f>TAidat/G153</f>
        <v>19.33877291512133</v>
      </c>
      <c r="H154" s="161">
        <f>TKiekko/H153</f>
        <v>19.609052229142257</v>
      </c>
      <c r="I154" s="162">
        <f>TSeiväs/I153</f>
        <v>180.1010101010101</v>
      </c>
      <c r="J154" s="161">
        <f>TKeihäs/J153</f>
        <v>21.892725644342722</v>
      </c>
      <c r="K154" s="223">
        <f>T1500m/K153</f>
        <v>464.702363146874</v>
      </c>
    </row>
    <row r="155" spans="1:11" ht="12.75">
      <c r="A155" s="2">
        <v>80</v>
      </c>
      <c r="B155" s="105">
        <v>0.6894</v>
      </c>
      <c r="C155" s="105">
        <v>2.0506</v>
      </c>
      <c r="D155" s="105">
        <v>1.7816</v>
      </c>
      <c r="E155" s="105">
        <v>1.8097</v>
      </c>
      <c r="F155" s="105">
        <v>0.6082000000000001</v>
      </c>
      <c r="G155" s="145">
        <v>0.8607</v>
      </c>
      <c r="H155" s="105">
        <v>1.9033</v>
      </c>
      <c r="I155" s="105">
        <v>2.2327</v>
      </c>
      <c r="J155" s="105">
        <v>2.0612</v>
      </c>
      <c r="K155" s="110">
        <v>0.6236</v>
      </c>
    </row>
    <row r="156" spans="1:11" ht="20.25" customHeight="1">
      <c r="A156" s="2"/>
      <c r="B156" s="161">
        <f>T100m/B155</f>
        <v>18.590078328981726</v>
      </c>
      <c r="C156" s="162">
        <f>TPituus/C155</f>
        <v>272.60314054423094</v>
      </c>
      <c r="D156" s="161">
        <f>TKuula/D155</f>
        <v>5.747642568477772</v>
      </c>
      <c r="E156" s="162">
        <f>TKorkeus/E155</f>
        <v>90.95430181798088</v>
      </c>
      <c r="F156" s="161">
        <f>T400m/F155</f>
        <v>94.62347911871093</v>
      </c>
      <c r="G156" s="163">
        <f>TAidat/G155</f>
        <v>21.203671430231207</v>
      </c>
      <c r="H156" s="161">
        <f>TKiekko/H155</f>
        <v>16.707823254347712</v>
      </c>
      <c r="I156" s="162">
        <f>TSeiväs/I155</f>
        <v>159.7169346531106</v>
      </c>
      <c r="J156" s="161">
        <f>TKeihäs/J155</f>
        <v>21.34678827867262</v>
      </c>
      <c r="K156" s="223">
        <f>T1500m/K155</f>
        <v>498.2360487491982</v>
      </c>
    </row>
    <row r="157" spans="1:11" ht="12.75">
      <c r="A157" s="2">
        <v>85</v>
      </c>
      <c r="B157" s="105">
        <v>0.6316</v>
      </c>
      <c r="C157" s="105">
        <v>2.3553</v>
      </c>
      <c r="D157" s="105">
        <v>2.1843</v>
      </c>
      <c r="E157" s="105">
        <v>1.966</v>
      </c>
      <c r="F157" s="105">
        <v>0.5266000000000001</v>
      </c>
      <c r="G157" s="145">
        <v>0.7377</v>
      </c>
      <c r="H157" s="105">
        <v>2.3034</v>
      </c>
      <c r="I157" s="105">
        <v>2.5595</v>
      </c>
      <c r="J157" s="105">
        <v>2.6164</v>
      </c>
      <c r="K157" s="110">
        <v>0.5483</v>
      </c>
    </row>
    <row r="158" spans="1:11" ht="20.25" customHeight="1">
      <c r="A158" s="2"/>
      <c r="B158" s="161">
        <f>T100m/B157</f>
        <v>20.291323622545914</v>
      </c>
      <c r="C158" s="162">
        <f>TPituus/C157</f>
        <v>237.33706958773828</v>
      </c>
      <c r="D158" s="161">
        <f>TKuula/D157</f>
        <v>4.6880007325001145</v>
      </c>
      <c r="E158" s="162">
        <f>TKorkeus/E157</f>
        <v>83.7232960325534</v>
      </c>
      <c r="F158" s="161">
        <f>T400m/F157</f>
        <v>109.28598556779338</v>
      </c>
      <c r="G158" s="163">
        <f>TAidat/G157</f>
        <v>24.73905381591433</v>
      </c>
      <c r="H158" s="161">
        <f>TKiekko/H157</f>
        <v>13.805678562125555</v>
      </c>
      <c r="I158" s="162">
        <f>TSeiväs/I157</f>
        <v>139.32408673569057</v>
      </c>
      <c r="J158" s="161">
        <f>TKeihäs/J157</f>
        <v>16.817000458645467</v>
      </c>
      <c r="K158" s="223">
        <f>T1500m/K157</f>
        <v>566.6605872697428</v>
      </c>
    </row>
    <row r="159" spans="1:11" ht="12.75">
      <c r="A159" s="2">
        <v>90</v>
      </c>
      <c r="B159" s="105">
        <v>0.5759000000000001</v>
      </c>
      <c r="C159" s="105">
        <v>3.0442</v>
      </c>
      <c r="D159" s="105">
        <v>2.8222</v>
      </c>
      <c r="E159" s="105">
        <v>2.2072</v>
      </c>
      <c r="F159" s="105">
        <v>0.43620000000000003</v>
      </c>
      <c r="G159" s="145">
        <v>0.6148</v>
      </c>
      <c r="H159" s="105">
        <v>2.9162</v>
      </c>
      <c r="I159" s="105">
        <v>3.07</v>
      </c>
      <c r="J159" s="105">
        <v>3.5811</v>
      </c>
      <c r="K159" s="110">
        <v>0.44160000000000005</v>
      </c>
    </row>
    <row r="160" spans="1:11" ht="21" customHeight="1">
      <c r="A160" s="2"/>
      <c r="B160" s="161">
        <f>T100m/B159</f>
        <v>22.25386351797187</v>
      </c>
      <c r="C160" s="162">
        <f>TPituus/C159</f>
        <v>183.62788253071415</v>
      </c>
      <c r="D160" s="161">
        <f>TKuula/D159</f>
        <v>3.6283750265750125</v>
      </c>
      <c r="E160" s="162">
        <f>TKorkeus/E159</f>
        <v>74.57412105835448</v>
      </c>
      <c r="F160" s="161">
        <f>T400m/F159</f>
        <v>131.93489225126086</v>
      </c>
      <c r="G160" s="163">
        <f>TAidat/G159</f>
        <v>29.68445022771633</v>
      </c>
      <c r="H160" s="161">
        <f>TKiekko/H159</f>
        <v>10.90460187915781</v>
      </c>
      <c r="I160" s="162">
        <f>TSeiväs/I159</f>
        <v>116.15635179153095</v>
      </c>
      <c r="J160" s="161">
        <f>TKeihäs/J159</f>
        <v>12.28672754181676</v>
      </c>
      <c r="K160" s="223">
        <f>T1500m/K159</f>
        <v>703.5778985507245</v>
      </c>
    </row>
    <row r="161" spans="1:11" ht="12.75">
      <c r="A161" s="2">
        <v>95</v>
      </c>
      <c r="B161" s="105">
        <v>0.4925</v>
      </c>
      <c r="C161" s="105">
        <v>4.6134</v>
      </c>
      <c r="D161" s="105">
        <v>3.9862</v>
      </c>
      <c r="E161" s="105">
        <v>2.6630000000000003</v>
      </c>
      <c r="F161" s="105">
        <v>0.3185</v>
      </c>
      <c r="G161" s="145">
        <v>0.4781</v>
      </c>
      <c r="H161" s="105">
        <v>3.9735</v>
      </c>
      <c r="I161" s="105">
        <v>4.0933</v>
      </c>
      <c r="J161" s="105">
        <v>5.6724</v>
      </c>
      <c r="K161" s="110">
        <v>0.3179</v>
      </c>
    </row>
    <row r="162" spans="1:11" ht="21" customHeight="1">
      <c r="A162" s="2"/>
      <c r="B162" s="161">
        <f>T100m/B161</f>
        <v>26.022335025380713</v>
      </c>
      <c r="C162" s="162">
        <f>TPituus/C161</f>
        <v>121.16876923743875</v>
      </c>
      <c r="D162" s="161">
        <f>TKuula/D161</f>
        <v>2.5688625758868096</v>
      </c>
      <c r="E162" s="162">
        <f>TKorkeus/E161</f>
        <v>61.80998873450994</v>
      </c>
      <c r="F162" s="161">
        <f>T400m/F161</f>
        <v>180.69073783359497</v>
      </c>
      <c r="G162" s="163">
        <f>TAidat/G161</f>
        <v>38.17193055846057</v>
      </c>
      <c r="H162" s="161">
        <f>TKiekko/H161</f>
        <v>8.003020007550019</v>
      </c>
      <c r="I162" s="162">
        <f>TSeiväs/I161</f>
        <v>87.117973273398</v>
      </c>
      <c r="J162" s="161">
        <f>TKeihäs/J161</f>
        <v>7.756857767435301</v>
      </c>
      <c r="K162" s="223">
        <f>T1500m/K161</f>
        <v>977.3513683548284</v>
      </c>
    </row>
    <row r="163" spans="1:11" ht="12.75">
      <c r="A163" s="109" t="s">
        <v>56</v>
      </c>
      <c r="B163" s="105">
        <v>0.2417</v>
      </c>
      <c r="C163" s="105">
        <v>11.9333</v>
      </c>
      <c r="D163" s="105">
        <v>6.7847</v>
      </c>
      <c r="E163" s="105">
        <v>3.5</v>
      </c>
      <c r="F163" s="105">
        <v>0.2417</v>
      </c>
      <c r="G163" s="145">
        <v>0.32280000000000003</v>
      </c>
      <c r="H163" s="105">
        <v>6.2333</v>
      </c>
      <c r="I163" s="105">
        <v>6.14</v>
      </c>
      <c r="J163" s="105">
        <v>13.6357</v>
      </c>
      <c r="K163" s="110">
        <v>0.2417</v>
      </c>
    </row>
    <row r="164" spans="2:11" ht="20.25" customHeight="1">
      <c r="B164" s="161">
        <f>T100m/B163</f>
        <v>53.02441042614812</v>
      </c>
      <c r="C164" s="162">
        <f>TPituus/C163</f>
        <v>46.843706267335946</v>
      </c>
      <c r="D164" s="161">
        <f>TKuula/D163</f>
        <v>1.5092782289563282</v>
      </c>
      <c r="E164" s="162">
        <f>TKorkeus/E163</f>
        <v>47.028571428571425</v>
      </c>
      <c r="F164" s="161">
        <f>T400m/F163</f>
        <v>238.10508895324782</v>
      </c>
      <c r="G164" s="163">
        <f>TAidat/G163</f>
        <v>56.53655514250309</v>
      </c>
      <c r="H164" s="161">
        <f>TKiekko/H163</f>
        <v>5.101631559527057</v>
      </c>
      <c r="I164" s="162">
        <f>TSeiväs/I163</f>
        <v>58.078175895765476</v>
      </c>
      <c r="J164" s="161">
        <f>TKeihäs/J163</f>
        <v>3.2268237054203306</v>
      </c>
      <c r="K164" s="223">
        <f>T1500m/K163</f>
        <v>1285.477865122052</v>
      </c>
    </row>
    <row r="165" spans="2:11" ht="12.75">
      <c r="B165" s="118"/>
      <c r="C165" s="119"/>
      <c r="D165" s="120"/>
      <c r="E165" s="119"/>
      <c r="F165" s="120"/>
      <c r="G165" s="121"/>
      <c r="H165" s="120"/>
      <c r="I165" s="119"/>
      <c r="J165" s="120"/>
      <c r="K165" s="120"/>
    </row>
    <row r="166" spans="2:11" ht="12.75">
      <c r="B166" s="164"/>
      <c r="C166" s="119"/>
      <c r="D166" s="120"/>
      <c r="E166" s="119"/>
      <c r="F166" s="120"/>
      <c r="G166" s="121"/>
      <c r="H166" s="120"/>
      <c r="I166" s="119"/>
      <c r="J166" s="120"/>
      <c r="K166" s="120"/>
    </row>
    <row r="167" spans="2:11" ht="12.75">
      <c r="B167" s="164"/>
      <c r="C167" s="119"/>
      <c r="D167" s="120"/>
      <c r="E167" s="119"/>
      <c r="F167" s="120"/>
      <c r="G167" s="121"/>
      <c r="H167" s="120"/>
      <c r="I167" s="119"/>
      <c r="J167" s="120"/>
      <c r="K167" s="120"/>
    </row>
    <row r="168" ht="19.5" customHeight="1"/>
    <row r="169" spans="2:11" ht="18">
      <c r="B169" s="165"/>
      <c r="C169" s="166"/>
      <c r="D169" s="166"/>
      <c r="E169" s="166"/>
      <c r="F169" s="166"/>
      <c r="G169" s="166"/>
      <c r="H169" s="166"/>
      <c r="I169" s="166"/>
      <c r="J169" s="166"/>
      <c r="K169" s="224"/>
    </row>
    <row r="170" spans="1:11" ht="20.25" customHeight="1">
      <c r="A170" s="25"/>
      <c r="B170" s="113"/>
      <c r="C170" s="114"/>
      <c r="D170" s="115"/>
      <c r="E170" s="114"/>
      <c r="F170" s="115"/>
      <c r="G170" s="115"/>
      <c r="H170" s="115"/>
      <c r="I170" s="114"/>
      <c r="J170" s="115"/>
      <c r="K170" s="115"/>
    </row>
    <row r="171" spans="1:11" ht="15">
      <c r="A171" s="167"/>
      <c r="B171" s="104"/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1:11" ht="15">
      <c r="A172" s="25"/>
      <c r="B172" s="113"/>
      <c r="C172" s="114"/>
      <c r="D172" s="115"/>
      <c r="E172" s="114"/>
      <c r="F172" s="115"/>
      <c r="G172" s="115"/>
      <c r="H172" s="115"/>
      <c r="I172" s="114"/>
      <c r="J172" s="115"/>
      <c r="K172" s="115"/>
    </row>
    <row r="173" spans="1:11" ht="15">
      <c r="A173" s="167"/>
      <c r="B173" s="104"/>
      <c r="C173" s="91"/>
      <c r="D173" s="91"/>
      <c r="E173" s="91"/>
      <c r="F173" s="91"/>
      <c r="G173" s="91"/>
      <c r="H173" s="91"/>
      <c r="I173" s="91"/>
      <c r="J173" s="91"/>
      <c r="K173" s="91"/>
    </row>
    <row r="177" ht="12.75">
      <c r="F177" s="168"/>
    </row>
  </sheetData>
  <sheetProtection/>
  <printOptions horizontalCentered="1" verticalCentered="1"/>
  <pageMargins left="0.2" right="0.12986111111111112" top="0.14027777777777778" bottom="0.1798611111111111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5.7109375" style="0" customWidth="1"/>
    <col min="2" max="2" width="9.7109375" style="0" customWidth="1"/>
    <col min="6" max="6" width="10.140625" style="0" customWidth="1"/>
    <col min="7" max="7" width="10.00390625" style="0" customWidth="1"/>
    <col min="8" max="8" width="9.7109375" style="0" customWidth="1"/>
    <col min="10" max="10" width="9.7109375" style="0" customWidth="1"/>
    <col min="11" max="11" width="11.140625" style="0" customWidth="1"/>
    <col min="13" max="13" width="15.421875" style="0" customWidth="1"/>
  </cols>
  <sheetData>
    <row r="2" spans="1:10" ht="15.75">
      <c r="A2" s="169" t="s">
        <v>85</v>
      </c>
      <c r="B2" s="170"/>
      <c r="C2" s="97"/>
      <c r="D2" s="97"/>
      <c r="E2" s="97"/>
      <c r="F2" s="97"/>
      <c r="G2" s="97" t="s">
        <v>47</v>
      </c>
      <c r="H2" s="97"/>
      <c r="I2" s="97"/>
      <c r="J2" s="97"/>
    </row>
    <row r="3" spans="1:10" ht="12.75">
      <c r="A3" s="98"/>
      <c r="B3" s="63"/>
      <c r="C3" s="13"/>
      <c r="D3" s="13" t="s">
        <v>26</v>
      </c>
      <c r="E3" s="13"/>
      <c r="F3" s="13"/>
      <c r="G3" s="13" t="s">
        <v>48</v>
      </c>
      <c r="H3" s="13" t="s">
        <v>27</v>
      </c>
      <c r="I3" s="13"/>
      <c r="J3" s="13" t="s">
        <v>28</v>
      </c>
    </row>
    <row r="4" spans="1:10" ht="12.75">
      <c r="A4" s="98"/>
      <c r="B4" s="63"/>
      <c r="C4" s="13"/>
      <c r="D4" s="99" t="s">
        <v>29</v>
      </c>
      <c r="E4" s="13"/>
      <c r="F4" s="13"/>
      <c r="G4" s="13" t="s">
        <v>49</v>
      </c>
      <c r="H4" s="13" t="s">
        <v>31</v>
      </c>
      <c r="I4" s="13"/>
      <c r="J4" s="13" t="s">
        <v>32</v>
      </c>
    </row>
    <row r="5" spans="1:10" ht="12.75">
      <c r="A5" s="98"/>
      <c r="B5" s="63"/>
      <c r="C5" s="13"/>
      <c r="D5" s="13" t="s">
        <v>50</v>
      </c>
      <c r="E5" s="13"/>
      <c r="F5" s="13"/>
      <c r="G5" s="99" t="s">
        <v>51</v>
      </c>
      <c r="H5" s="13"/>
      <c r="I5" s="13"/>
      <c r="J5" s="13" t="s">
        <v>52</v>
      </c>
    </row>
    <row r="6" spans="1:10" ht="12.75">
      <c r="A6" s="100"/>
      <c r="B6" s="171" t="s">
        <v>86</v>
      </c>
      <c r="C6" s="102"/>
      <c r="D6" s="102"/>
      <c r="E6" s="102"/>
      <c r="F6" s="102"/>
      <c r="G6" s="102"/>
      <c r="H6" s="102"/>
      <c r="I6" s="102"/>
      <c r="J6" s="102" t="s">
        <v>53</v>
      </c>
    </row>
    <row r="7" spans="2:13" ht="32.25" customHeight="1">
      <c r="B7" s="172" t="s">
        <v>87</v>
      </c>
      <c r="C7" s="173" t="s">
        <v>88</v>
      </c>
      <c r="D7" s="173" t="s">
        <v>89</v>
      </c>
      <c r="E7" s="173" t="s">
        <v>90</v>
      </c>
      <c r="F7" s="173" t="s">
        <v>4</v>
      </c>
      <c r="G7" s="173" t="s">
        <v>91</v>
      </c>
      <c r="H7" s="173" t="s">
        <v>92</v>
      </c>
      <c r="I7" s="173" t="s">
        <v>93</v>
      </c>
      <c r="J7" s="173" t="s">
        <v>94</v>
      </c>
      <c r="K7" s="173" t="s">
        <v>9</v>
      </c>
      <c r="M7" s="166" t="s">
        <v>72</v>
      </c>
    </row>
    <row r="8" spans="1:13" ht="18">
      <c r="A8" t="s">
        <v>95</v>
      </c>
      <c r="B8" s="141">
        <v>14.4</v>
      </c>
      <c r="C8" s="142">
        <v>423</v>
      </c>
      <c r="D8" s="143">
        <v>8</v>
      </c>
      <c r="E8" s="142">
        <v>130</v>
      </c>
      <c r="F8" s="143">
        <v>69.9</v>
      </c>
      <c r="G8" s="143">
        <v>19.72</v>
      </c>
      <c r="H8" s="143">
        <v>21</v>
      </c>
      <c r="I8" s="142">
        <v>250</v>
      </c>
      <c r="J8" s="143">
        <v>29</v>
      </c>
      <c r="K8" s="143">
        <v>343.7</v>
      </c>
      <c r="L8" s="144" t="s">
        <v>96</v>
      </c>
      <c r="M8" s="166"/>
    </row>
    <row r="9" spans="1:13" s="155" customFormat="1" ht="18">
      <c r="A9" s="174" t="s">
        <v>76</v>
      </c>
      <c r="B9" s="175">
        <f>TRUNC(25.4347*(18-B40)^1.81)</f>
        <v>569</v>
      </c>
      <c r="C9" s="176">
        <f>TRUNC(0.14354*(C40-220)^1.4)</f>
        <v>518</v>
      </c>
      <c r="D9" s="176">
        <f>TRUNC(51.39*(D40-1.5)^1.05)</f>
        <v>497</v>
      </c>
      <c r="E9" s="176">
        <f>TRUNC(0.84565*(E40-75)^1.42)</f>
        <v>530</v>
      </c>
      <c r="F9" s="176">
        <f>TRUNC(1.53775*(82-F40)^1.81)</f>
        <v>450</v>
      </c>
      <c r="G9" s="176">
        <f>TRUNC(5.74352*(28.5-G40)^1.92)</f>
        <v>532</v>
      </c>
      <c r="H9" s="176">
        <f>TRUNC(12.91*(H40-4)^1.1)</f>
        <v>330</v>
      </c>
      <c r="I9" s="176">
        <f>TRUNC(0.2797*(I40-100)^1.35)</f>
        <v>458</v>
      </c>
      <c r="J9" s="176">
        <f>TRUNC(10.14*(J40-7)^1.08)</f>
        <v>453</v>
      </c>
      <c r="K9" s="176">
        <f>TRUNC(0.03768*(480-K40)^1.85)</f>
        <v>673</v>
      </c>
      <c r="M9" s="177">
        <f>SUM(B9:K9)</f>
        <v>5010</v>
      </c>
    </row>
    <row r="10" spans="1:13" ht="18">
      <c r="A10" t="s">
        <v>97</v>
      </c>
      <c r="B10" s="141">
        <v>13.9</v>
      </c>
      <c r="C10" s="142">
        <v>406</v>
      </c>
      <c r="D10" s="143">
        <v>7</v>
      </c>
      <c r="E10" s="142">
        <v>125</v>
      </c>
      <c r="F10" s="143">
        <v>68.5</v>
      </c>
      <c r="G10" s="143">
        <v>19.9</v>
      </c>
      <c r="H10" s="143">
        <v>17</v>
      </c>
      <c r="I10" s="142">
        <v>230</v>
      </c>
      <c r="J10" s="143">
        <v>28.8</v>
      </c>
      <c r="K10" s="143">
        <v>343.2</v>
      </c>
      <c r="L10" s="144" t="s">
        <v>98</v>
      </c>
      <c r="M10" s="166"/>
    </row>
    <row r="11" spans="1:13" s="155" customFormat="1" ht="18">
      <c r="A11" s="174" t="s">
        <v>76</v>
      </c>
      <c r="B11" s="153">
        <f>TRUNC(25.4347*(18-B42)^1.81)</f>
        <v>651</v>
      </c>
      <c r="C11" s="154">
        <f>TRUNC(0.14354*(C42-220)^1.4)</f>
        <v>471</v>
      </c>
      <c r="D11" s="154">
        <f>TRUNC(51.39*(D42-1.5)^1.05)</f>
        <v>421</v>
      </c>
      <c r="E11" s="154">
        <f>TRUNC(0.84565*(E42-75)^1.42)</f>
        <v>478</v>
      </c>
      <c r="F11" s="154">
        <f>TRUNC(1.53775*(82-F42)^1.81)</f>
        <v>492</v>
      </c>
      <c r="G11" s="154">
        <f>TRUNC(5.74352*(28.5-G42)^1.92)</f>
        <v>517</v>
      </c>
      <c r="H11" s="154">
        <f>TRUNC(12.91*(H42-4)^1.1)</f>
        <v>247</v>
      </c>
      <c r="I11" s="154">
        <f>TRUNC(0.2797*(I42-100)^1.35)</f>
        <v>390</v>
      </c>
      <c r="J11" s="154">
        <f>TRUNC(10.14*(J42-7)^1.08)</f>
        <v>449</v>
      </c>
      <c r="K11" s="154">
        <f>TRUNC(0.03768*(480-K42)^1.85)</f>
        <v>675</v>
      </c>
      <c r="M11" s="177">
        <f>SUM(B11:K11)</f>
        <v>4791</v>
      </c>
    </row>
    <row r="12" spans="1:13" ht="18">
      <c r="A12" t="s">
        <v>99</v>
      </c>
      <c r="B12" s="141">
        <v>14.4</v>
      </c>
      <c r="C12" s="142">
        <v>384</v>
      </c>
      <c r="D12" s="143">
        <v>7.7</v>
      </c>
      <c r="E12" s="142">
        <v>130</v>
      </c>
      <c r="F12" s="143">
        <v>72.7</v>
      </c>
      <c r="G12" s="143">
        <v>21.4</v>
      </c>
      <c r="H12" s="143">
        <v>18</v>
      </c>
      <c r="I12" s="142">
        <v>210</v>
      </c>
      <c r="J12" s="143">
        <v>21.5</v>
      </c>
      <c r="K12" s="143">
        <v>377.1</v>
      </c>
      <c r="L12" s="144" t="s">
        <v>100</v>
      </c>
      <c r="M12" s="166"/>
    </row>
    <row r="13" spans="1:13" s="155" customFormat="1" ht="18">
      <c r="A13" s="174" t="s">
        <v>76</v>
      </c>
      <c r="B13" s="153">
        <f>TRUNC(25.4347*(18-B44)^1.81)</f>
        <v>569</v>
      </c>
      <c r="C13" s="154">
        <f>TRUNC(0.14354*(C44-220)^1.4)</f>
        <v>412</v>
      </c>
      <c r="D13" s="154">
        <f>TRUNC(51.39*(D44-1.5)^1.05)</f>
        <v>474</v>
      </c>
      <c r="E13" s="154">
        <f>TRUNC(0.84565*(E44-75)^1.42)</f>
        <v>530</v>
      </c>
      <c r="F13" s="154">
        <f>TRUNC(1.53775*(82-F44)^1.81)</f>
        <v>370</v>
      </c>
      <c r="G13" s="154">
        <f>TRUNC(5.74352*(28.5-G44)^1.92)</f>
        <v>395</v>
      </c>
      <c r="H13" s="154">
        <f>TRUNC(12.91*(H44-4)^1.1)</f>
        <v>268</v>
      </c>
      <c r="I13" s="154">
        <f>TRUNC(0.2797*(I44-100)^1.35)</f>
        <v>324</v>
      </c>
      <c r="J13" s="154">
        <f>TRUNC(10.14*(J44-7)^1.08)</f>
        <v>302</v>
      </c>
      <c r="K13" s="154">
        <f>TRUNC(0.03768*(480-K44)^1.85)</f>
        <v>512</v>
      </c>
      <c r="M13" s="177">
        <f>SUM(B13:K13)</f>
        <v>4156</v>
      </c>
    </row>
    <row r="14" spans="1:13" ht="18">
      <c r="A14" t="s">
        <v>101</v>
      </c>
      <c r="B14" s="141">
        <v>20.7</v>
      </c>
      <c r="C14" s="142">
        <v>320</v>
      </c>
      <c r="D14" s="143">
        <v>6</v>
      </c>
      <c r="E14" s="142">
        <v>125</v>
      </c>
      <c r="F14" s="143">
        <v>97</v>
      </c>
      <c r="G14" s="143">
        <v>31</v>
      </c>
      <c r="H14" s="143">
        <v>14</v>
      </c>
      <c r="I14" s="142">
        <v>250</v>
      </c>
      <c r="J14" s="143">
        <v>17</v>
      </c>
      <c r="K14" s="143">
        <v>580</v>
      </c>
      <c r="L14" s="144" t="s">
        <v>102</v>
      </c>
      <c r="M14" s="166"/>
    </row>
    <row r="15" spans="1:13" s="155" customFormat="1" ht="18">
      <c r="A15" s="178" t="s">
        <v>76</v>
      </c>
      <c r="B15" s="132">
        <f>TRUNC(25.4347*(18-B46)^1.81)</f>
        <v>0</v>
      </c>
      <c r="C15" s="179">
        <f>TRUNC(0.14354*(C46-220)^1.4)</f>
        <v>254</v>
      </c>
      <c r="D15" s="179">
        <f>TRUNC(51.39*(D46-1.5)^1.05)</f>
        <v>345</v>
      </c>
      <c r="E15" s="179">
        <f>TRUNC(0.84565*(E46-75)^1.42)</f>
        <v>478</v>
      </c>
      <c r="F15" s="179">
        <f>TRUNC(1.53775*(82-F46)^1.81)</f>
        <v>0</v>
      </c>
      <c r="G15" s="179">
        <f>TRUNC(5.74352*(28.5-G46)^1.92)</f>
        <v>0</v>
      </c>
      <c r="H15" s="179">
        <f>TRUNC(12.91*(H46-4)^1.1)</f>
        <v>187</v>
      </c>
      <c r="I15" s="179">
        <f>TRUNC(0.2797*(I46-100)^1.35)</f>
        <v>458</v>
      </c>
      <c r="J15" s="179">
        <f>TRUNC(10.14*(J46-7)^1.08)</f>
        <v>214</v>
      </c>
      <c r="K15" s="179">
        <f>TRUNC(0.03768*(480-K46)^1.85)</f>
        <v>0</v>
      </c>
      <c r="L15" s="134"/>
      <c r="M15" s="180">
        <f>SUM(B15:K15)</f>
        <v>1936</v>
      </c>
    </row>
    <row r="16" spans="1:13" ht="18">
      <c r="A16" t="s">
        <v>103</v>
      </c>
      <c r="B16" s="141">
        <v>18.3</v>
      </c>
      <c r="C16" s="142">
        <v>269</v>
      </c>
      <c r="D16" s="143">
        <v>7.3</v>
      </c>
      <c r="E16" s="142">
        <v>110</v>
      </c>
      <c r="F16" s="143">
        <v>83.3</v>
      </c>
      <c r="G16" s="143">
        <v>31</v>
      </c>
      <c r="H16" s="143">
        <v>18.5</v>
      </c>
      <c r="I16" s="142">
        <v>160</v>
      </c>
      <c r="J16" s="143">
        <v>25</v>
      </c>
      <c r="K16" s="143">
        <v>408.9</v>
      </c>
      <c r="L16" s="144" t="s">
        <v>104</v>
      </c>
      <c r="M16" s="166"/>
    </row>
    <row r="17" spans="1:13" s="155" customFormat="1" ht="18">
      <c r="A17" s="178" t="s">
        <v>76</v>
      </c>
      <c r="B17" s="132">
        <f>TRUNC(25.4347*(18-B48)^1.81)</f>
        <v>106</v>
      </c>
      <c r="C17" s="179">
        <f>TRUNC(0.14354*(C48-220)^1.4)</f>
        <v>146</v>
      </c>
      <c r="D17" s="179">
        <f>TRUNC(51.39*(D48-1.5)^1.05)</f>
        <v>444</v>
      </c>
      <c r="E17" s="179">
        <f>TRUNC(0.84565*(E48-75)^1.42)</f>
        <v>334</v>
      </c>
      <c r="F17" s="179">
        <f>TRUNC(1.53775*(82-F48)^1.81)</f>
        <v>133</v>
      </c>
      <c r="G17" s="179">
        <f>TRUNC(5.74352*(28.5-G48)^1.92)</f>
        <v>0</v>
      </c>
      <c r="H17" s="179">
        <f>TRUNC(12.91*(H48-4)^1.1)</f>
        <v>278</v>
      </c>
      <c r="I17" s="179">
        <f>TRUNC(0.2797*(I48-100)^1.35)</f>
        <v>175</v>
      </c>
      <c r="J17" s="179">
        <f>TRUNC(10.14*(J48-7)^1.08)</f>
        <v>372</v>
      </c>
      <c r="K17" s="179">
        <f>TRUNC(0.03768*(480-K48)^1.85)</f>
        <v>377</v>
      </c>
      <c r="L17" s="134"/>
      <c r="M17" s="180">
        <f>SUM(B17:K17)</f>
        <v>2365</v>
      </c>
    </row>
    <row r="18" spans="1:13" ht="18">
      <c r="A18" t="s">
        <v>38</v>
      </c>
      <c r="B18" s="141">
        <v>17</v>
      </c>
      <c r="C18" s="142">
        <v>269</v>
      </c>
      <c r="D18" s="143">
        <v>6.8</v>
      </c>
      <c r="E18" s="142">
        <v>58</v>
      </c>
      <c r="F18" s="143">
        <v>88</v>
      </c>
      <c r="G18" s="143">
        <v>31</v>
      </c>
      <c r="H18" s="143">
        <v>17</v>
      </c>
      <c r="I18" s="142">
        <v>75</v>
      </c>
      <c r="J18" s="143">
        <v>23.2</v>
      </c>
      <c r="K18" s="143">
        <v>580</v>
      </c>
      <c r="L18" s="144" t="s">
        <v>102</v>
      </c>
      <c r="M18" s="166"/>
    </row>
    <row r="19" spans="1:13" s="155" customFormat="1" ht="18">
      <c r="A19" s="178" t="s">
        <v>76</v>
      </c>
      <c r="B19" s="132">
        <f>TRUNC(25.4347*(18-B50)^1.81)</f>
        <v>223</v>
      </c>
      <c r="C19" s="179">
        <f>TRUNC(0.14354*(C50-220)^1.4)</f>
        <v>146</v>
      </c>
      <c r="D19" s="179">
        <f>TRUNC(51.39*(D50-1.5)^1.05)</f>
        <v>406</v>
      </c>
      <c r="E19" s="179">
        <f>TRUNC(0.84565*(E50-75)^1.42)</f>
        <v>0</v>
      </c>
      <c r="F19" s="179">
        <f>TRUNC(1.53775*(82-F50)^1.81)</f>
        <v>63</v>
      </c>
      <c r="G19" s="179">
        <f>TRUNC(5.74352*(28.5-G50)^1.92)</f>
        <v>0</v>
      </c>
      <c r="H19" s="179">
        <f>TRUNC(12.91*(H50-4)^1.1)</f>
        <v>247</v>
      </c>
      <c r="I19" s="179">
        <f>TRUNC(0.2797*(I50-100)^1.35)</f>
        <v>0</v>
      </c>
      <c r="J19" s="179">
        <f>TRUNC(10.14*(J50-7)^1.08)</f>
        <v>336</v>
      </c>
      <c r="K19" s="179">
        <f>TRUNC(0.03768*(480-K50)^1.85)</f>
        <v>0</v>
      </c>
      <c r="L19" s="134"/>
      <c r="M19" s="180">
        <f>SUM(B19:K19)</f>
        <v>1421</v>
      </c>
    </row>
    <row r="20" spans="1:13" ht="18">
      <c r="A20" t="s">
        <v>36</v>
      </c>
      <c r="B20" s="141">
        <v>20.7</v>
      </c>
      <c r="C20" s="142">
        <v>166</v>
      </c>
      <c r="D20" s="143">
        <v>7.1</v>
      </c>
      <c r="E20" s="142">
        <v>58</v>
      </c>
      <c r="F20" s="143">
        <v>96.35</v>
      </c>
      <c r="G20" s="143">
        <v>31</v>
      </c>
      <c r="H20" s="143">
        <v>17.7</v>
      </c>
      <c r="I20" s="142">
        <v>75</v>
      </c>
      <c r="J20" s="143">
        <v>18</v>
      </c>
      <c r="K20" s="143">
        <v>580</v>
      </c>
      <c r="L20" s="144" t="s">
        <v>102</v>
      </c>
      <c r="M20" s="166"/>
    </row>
    <row r="21" spans="1:13" s="155" customFormat="1" ht="18">
      <c r="A21" s="178" t="s">
        <v>76</v>
      </c>
      <c r="B21" s="132">
        <f>TRUNC(25.4347*(18-B52)^1.81)</f>
        <v>0</v>
      </c>
      <c r="C21" s="179">
        <f>TRUNC(0.14354*(C52-220)^1.4)</f>
        <v>0</v>
      </c>
      <c r="D21" s="179">
        <f>TRUNC(51.39*(D52-1.5)^1.05)</f>
        <v>428</v>
      </c>
      <c r="E21" s="179">
        <f>TRUNC(0.84565*(E52-75)^1.42)</f>
        <v>0</v>
      </c>
      <c r="F21" s="179">
        <f>TRUNC(1.53775*(82-F52)^1.81)</f>
        <v>0</v>
      </c>
      <c r="G21" s="179">
        <f>TRUNC(5.74352*(28.5-G52)^1.92)</f>
        <v>0</v>
      </c>
      <c r="H21" s="179">
        <f>TRUNC(12.91*(H52-4)^1.1)</f>
        <v>262</v>
      </c>
      <c r="I21" s="179">
        <f>TRUNC(0.2797*(I52-100)^1.35)</f>
        <v>0</v>
      </c>
      <c r="J21" s="179">
        <f>TRUNC(10.14*(J52-7)^1.08)</f>
        <v>234</v>
      </c>
      <c r="K21" s="179">
        <f>TRUNC(0.03768*(480-K52)^1.85)</f>
        <v>0</v>
      </c>
      <c r="L21" s="134"/>
      <c r="M21" s="180">
        <f>SUM(B21:K21)</f>
        <v>924</v>
      </c>
    </row>
    <row r="22" spans="1:13" ht="18">
      <c r="A22" t="s">
        <v>105</v>
      </c>
      <c r="B22" s="141">
        <v>20.7</v>
      </c>
      <c r="C22" s="142">
        <v>166</v>
      </c>
      <c r="D22" s="143">
        <v>5.55</v>
      </c>
      <c r="E22" s="142">
        <v>58</v>
      </c>
      <c r="F22" s="143">
        <v>96.35</v>
      </c>
      <c r="G22" s="143">
        <v>31</v>
      </c>
      <c r="H22" s="143">
        <v>3.73</v>
      </c>
      <c r="I22" s="142">
        <v>75</v>
      </c>
      <c r="J22" s="143">
        <v>5.05</v>
      </c>
      <c r="K22" s="143">
        <v>580</v>
      </c>
      <c r="L22" s="144" t="s">
        <v>102</v>
      </c>
      <c r="M22" s="166"/>
    </row>
    <row r="23" spans="1:13" ht="18">
      <c r="A23" s="178" t="s">
        <v>76</v>
      </c>
      <c r="B23" s="132">
        <f>TRUNC(25.4347*(18-B54)^1.81)</f>
        <v>0</v>
      </c>
      <c r="C23" s="179">
        <f>TRUNC(0.14354*(C54-220)^1.4)</f>
        <v>0</v>
      </c>
      <c r="D23" s="179">
        <f>TRUNC(51.39*(D54-1.5)^1.05)</f>
        <v>311</v>
      </c>
      <c r="E23" s="179">
        <f>TRUNC(0.84565*(E54-75)^1.42)</f>
        <v>0</v>
      </c>
      <c r="F23" s="179">
        <f>TRUNC(1.53775*(82-F54)^1.81)</f>
        <v>0</v>
      </c>
      <c r="G23" s="179">
        <f>TRUNC(5.74352*(28.5-G54)^1.92)</f>
        <v>0</v>
      </c>
      <c r="H23" s="179">
        <f>TRUNC(12.91*(H54-4)^1.1)</f>
        <v>0</v>
      </c>
      <c r="I23" s="179">
        <f>TRUNC(0.2797*(I54-100)^1.35)</f>
        <v>0</v>
      </c>
      <c r="J23" s="179">
        <f>TRUNC(10.14*(J54-7)^1.08)</f>
        <v>0</v>
      </c>
      <c r="K23" s="179">
        <f>TRUNC(0.03768*(480-K54)^1.85)</f>
        <v>0</v>
      </c>
      <c r="L23" s="134"/>
      <c r="M23" s="180">
        <f>SUM(B23:K23)</f>
        <v>311</v>
      </c>
    </row>
    <row r="24" spans="1:13" ht="18">
      <c r="A24" t="s">
        <v>106</v>
      </c>
      <c r="B24" s="141">
        <v>20.7</v>
      </c>
      <c r="C24" s="142">
        <v>166</v>
      </c>
      <c r="D24" s="143">
        <v>9.5</v>
      </c>
      <c r="E24" s="142">
        <v>58</v>
      </c>
      <c r="F24" s="143">
        <v>96.35</v>
      </c>
      <c r="G24" s="143">
        <v>31</v>
      </c>
      <c r="H24" s="143">
        <v>21.5</v>
      </c>
      <c r="I24" s="142">
        <v>75</v>
      </c>
      <c r="J24" s="143">
        <v>24.6</v>
      </c>
      <c r="K24" s="143">
        <v>580</v>
      </c>
      <c r="L24" s="144" t="s">
        <v>102</v>
      </c>
      <c r="M24" s="166"/>
    </row>
    <row r="25" spans="1:13" ht="18">
      <c r="A25" s="178" t="s">
        <v>76</v>
      </c>
      <c r="B25" s="132">
        <f>TRUNC(25.4347*(18-B56)^1.81)</f>
        <v>0</v>
      </c>
      <c r="C25" s="179">
        <f>TRUNC(0.14354*(C56-220)^1.4)</f>
        <v>0</v>
      </c>
      <c r="D25" s="179">
        <f>TRUNC(51.39*(D56-1.5)^1.05)</f>
        <v>612</v>
      </c>
      <c r="E25" s="179">
        <f>TRUNC(0.84565*(E56-75)^1.42)</f>
        <v>0</v>
      </c>
      <c r="F25" s="179">
        <f>TRUNC(1.53775*(82-F56)^1.81)</f>
        <v>0</v>
      </c>
      <c r="G25" s="179">
        <f>TRUNC(5.74352*(28.5-G56)^1.92)</f>
        <v>0</v>
      </c>
      <c r="H25" s="179">
        <f>TRUNC(12.91*(H56-4)^1.1)</f>
        <v>341</v>
      </c>
      <c r="I25" s="179">
        <f>TRUNC(0.2797*(I56-100)^1.35)</f>
        <v>0</v>
      </c>
      <c r="J25" s="179">
        <f>TRUNC(10.14*(J56-7)^1.08)</f>
        <v>364</v>
      </c>
      <c r="K25" s="179">
        <f>TRUNC(0.03768*(480-K56)^1.85)</f>
        <v>0</v>
      </c>
      <c r="L25" s="134"/>
      <c r="M25" s="180">
        <f>SUM(B25:K25)</f>
        <v>1317</v>
      </c>
    </row>
    <row r="26" spans="1:13" ht="18">
      <c r="A26" t="s">
        <v>107</v>
      </c>
      <c r="B26" s="141">
        <v>20.7</v>
      </c>
      <c r="C26" s="142">
        <v>205</v>
      </c>
      <c r="D26" s="143">
        <v>9.35</v>
      </c>
      <c r="E26" s="142">
        <v>115</v>
      </c>
      <c r="F26" s="143">
        <v>96.35</v>
      </c>
      <c r="G26" s="143">
        <v>31</v>
      </c>
      <c r="H26" s="143">
        <v>22.5</v>
      </c>
      <c r="I26" s="142">
        <v>75</v>
      </c>
      <c r="J26" s="143">
        <v>28.5</v>
      </c>
      <c r="K26" s="143">
        <v>580</v>
      </c>
      <c r="L26" s="144" t="s">
        <v>102</v>
      </c>
      <c r="M26" s="166"/>
    </row>
    <row r="27" spans="1:13" ht="18">
      <c r="A27" s="178" t="s">
        <v>76</v>
      </c>
      <c r="B27" s="132">
        <f>TRUNC(25.4347*(18-B58)^1.81)</f>
        <v>0</v>
      </c>
      <c r="C27" s="179">
        <f>TRUNC(0.14354*(C58-220)^1.4)</f>
        <v>39</v>
      </c>
      <c r="D27" s="179">
        <f>TRUNC(51.39*(D58-1.5)^1.05)</f>
        <v>601</v>
      </c>
      <c r="E27" s="179">
        <f>TRUNC(0.84565*(E58-75)^1.42)</f>
        <v>380</v>
      </c>
      <c r="F27" s="179">
        <f>TRUNC(1.53775*(82-F58)^1.81)</f>
        <v>0</v>
      </c>
      <c r="G27" s="179">
        <f>TRUNC(5.74352*(28.5-G58)^1.92)</f>
        <v>0</v>
      </c>
      <c r="H27" s="179">
        <f>TRUNC(12.91*(H58-4)^1.1)</f>
        <v>362</v>
      </c>
      <c r="I27" s="179">
        <f>TRUNC(0.2797*(I58-100)^1.35)</f>
        <v>0</v>
      </c>
      <c r="J27" s="179">
        <f>TRUNC(10.14*(J58-7)^1.08)</f>
        <v>443</v>
      </c>
      <c r="K27" s="179">
        <f>TRUNC(0.03768*(480-K58)^1.85)</f>
        <v>0</v>
      </c>
      <c r="L27" s="134"/>
      <c r="M27" s="180">
        <f>SUM(B27:K27)</f>
        <v>1825</v>
      </c>
    </row>
    <row r="28" spans="1:13" ht="18">
      <c r="A28" s="181" t="s">
        <v>19</v>
      </c>
      <c r="B28" s="50"/>
      <c r="C28" s="91"/>
      <c r="D28" s="91"/>
      <c r="E28" s="91"/>
      <c r="F28" s="91"/>
      <c r="G28" s="91"/>
      <c r="H28" s="91"/>
      <c r="I28" s="91"/>
      <c r="J28" s="91"/>
      <c r="K28" s="91"/>
      <c r="L28" s="13"/>
      <c r="M28" s="182"/>
    </row>
    <row r="29" spans="1:13" ht="18">
      <c r="A29" s="183"/>
      <c r="B29" s="50"/>
      <c r="C29" s="91"/>
      <c r="D29" s="91"/>
      <c r="E29" s="91"/>
      <c r="F29" s="91"/>
      <c r="G29" s="91"/>
      <c r="H29" s="91"/>
      <c r="I29" s="91"/>
      <c r="J29" s="91"/>
      <c r="K29" s="91"/>
      <c r="L29" s="13"/>
      <c r="M29" s="182"/>
    </row>
    <row r="30" spans="1:13" ht="18">
      <c r="A30" s="181" t="s">
        <v>108</v>
      </c>
      <c r="B30" s="50"/>
      <c r="C30" s="91"/>
      <c r="D30" s="91"/>
      <c r="E30" s="91"/>
      <c r="F30" s="91"/>
      <c r="G30" s="91"/>
      <c r="H30" s="91"/>
      <c r="I30" s="91"/>
      <c r="J30" s="91"/>
      <c r="K30" s="91"/>
      <c r="L30" s="13"/>
      <c r="M30" s="182"/>
    </row>
    <row r="31" spans="1:13" ht="18">
      <c r="A31" s="183"/>
      <c r="B31" s="50"/>
      <c r="C31" s="91"/>
      <c r="D31" s="91"/>
      <c r="E31" s="91"/>
      <c r="F31" s="91"/>
      <c r="G31" s="91"/>
      <c r="H31" s="91"/>
      <c r="I31" s="91"/>
      <c r="J31" s="91"/>
      <c r="K31" s="91"/>
      <c r="L31" s="13"/>
      <c r="M31" s="182"/>
    </row>
    <row r="32" ht="17.25" customHeight="1">
      <c r="A32" s="184" t="s">
        <v>109</v>
      </c>
    </row>
    <row r="33" ht="17.25" customHeight="1">
      <c r="A33" s="184"/>
    </row>
    <row r="34" ht="17.25" customHeight="1">
      <c r="A34" s="184" t="s">
        <v>110</v>
      </c>
    </row>
    <row r="35" ht="17.25" customHeight="1">
      <c r="A35" s="184"/>
    </row>
    <row r="36" ht="17.25" customHeight="1">
      <c r="A36" s="184" t="s">
        <v>111</v>
      </c>
    </row>
    <row r="37" ht="17.25" customHeight="1">
      <c r="A37" s="184"/>
    </row>
    <row r="38" ht="17.25" customHeight="1">
      <c r="A38" s="184"/>
    </row>
    <row r="39" spans="1:13" ht="18">
      <c r="A39" t="s">
        <v>78</v>
      </c>
      <c r="B39" s="105">
        <v>0.8633000000000001</v>
      </c>
      <c r="C39" s="105">
        <v>1.3417</v>
      </c>
      <c r="D39" s="105">
        <v>1.2736</v>
      </c>
      <c r="E39" s="105">
        <v>1.2947</v>
      </c>
      <c r="F39" s="105">
        <v>0.8433</v>
      </c>
      <c r="G39" s="145">
        <v>0.9085000000000001</v>
      </c>
      <c r="H39" s="105">
        <v>1.0984</v>
      </c>
      <c r="I39" s="105">
        <v>1.3628</v>
      </c>
      <c r="J39" s="105">
        <v>1.4059</v>
      </c>
      <c r="K39" s="105">
        <v>0.8181</v>
      </c>
      <c r="M39" s="166"/>
    </row>
    <row r="40" spans="1:13" ht="15">
      <c r="A40" s="93" t="s">
        <v>79</v>
      </c>
      <c r="B40" s="185">
        <f aca="true" t="shared" si="0" ref="B40:K40">B39*B8</f>
        <v>12.43152</v>
      </c>
      <c r="C40" s="186">
        <f t="shared" si="0"/>
        <v>567.5391</v>
      </c>
      <c r="D40" s="187">
        <f t="shared" si="0"/>
        <v>10.1888</v>
      </c>
      <c r="E40" s="186">
        <f t="shared" si="0"/>
        <v>168.311</v>
      </c>
      <c r="F40" s="188">
        <f t="shared" si="0"/>
        <v>58.94667000000001</v>
      </c>
      <c r="G40" s="187">
        <f t="shared" si="0"/>
        <v>17.91562</v>
      </c>
      <c r="H40" s="187">
        <f t="shared" si="0"/>
        <v>23.0664</v>
      </c>
      <c r="I40" s="189">
        <f t="shared" si="0"/>
        <v>340.7</v>
      </c>
      <c r="J40" s="187">
        <f t="shared" si="0"/>
        <v>40.7711</v>
      </c>
      <c r="K40" s="187">
        <f t="shared" si="0"/>
        <v>281.18097</v>
      </c>
      <c r="L40" s="190" t="s">
        <v>112</v>
      </c>
      <c r="M40" s="191"/>
    </row>
    <row r="41" spans="1:13" ht="18">
      <c r="A41" t="s">
        <v>78</v>
      </c>
      <c r="B41" s="105">
        <v>0.8633000000000001</v>
      </c>
      <c r="C41" s="105">
        <v>1.3417</v>
      </c>
      <c r="D41" s="105">
        <v>1.2736</v>
      </c>
      <c r="E41" s="105">
        <v>1.2947</v>
      </c>
      <c r="F41" s="105">
        <v>0.8433</v>
      </c>
      <c r="G41" s="145">
        <v>0.9085000000000001</v>
      </c>
      <c r="H41" s="105">
        <v>1.0984</v>
      </c>
      <c r="I41" s="105">
        <v>1.3628</v>
      </c>
      <c r="J41" s="105">
        <v>1.4059</v>
      </c>
      <c r="K41" s="105">
        <v>0.8181</v>
      </c>
      <c r="M41" s="166"/>
    </row>
    <row r="42" spans="1:13" ht="15">
      <c r="A42" s="93" t="s">
        <v>79</v>
      </c>
      <c r="B42" s="185">
        <f aca="true" t="shared" si="1" ref="B42:K42">B41*B10</f>
        <v>11.999870000000001</v>
      </c>
      <c r="C42" s="186">
        <f t="shared" si="1"/>
        <v>544.7302</v>
      </c>
      <c r="D42" s="187">
        <f t="shared" si="1"/>
        <v>8.9152</v>
      </c>
      <c r="E42" s="186">
        <f t="shared" si="1"/>
        <v>161.8375</v>
      </c>
      <c r="F42" s="188">
        <f t="shared" si="1"/>
        <v>57.76605</v>
      </c>
      <c r="G42" s="187">
        <f t="shared" si="1"/>
        <v>18.079150000000002</v>
      </c>
      <c r="H42" s="187">
        <f t="shared" si="1"/>
        <v>18.672800000000002</v>
      </c>
      <c r="I42" s="189">
        <f t="shared" si="1"/>
        <v>313.444</v>
      </c>
      <c r="J42" s="187">
        <f t="shared" si="1"/>
        <v>40.48992</v>
      </c>
      <c r="K42" s="187">
        <f t="shared" si="1"/>
        <v>280.77192</v>
      </c>
      <c r="L42" s="190"/>
      <c r="M42" s="191"/>
    </row>
    <row r="43" spans="1:13" ht="18">
      <c r="A43" t="s">
        <v>78</v>
      </c>
      <c r="B43" s="105">
        <v>0.8633000000000001</v>
      </c>
      <c r="C43" s="105">
        <v>1.3417</v>
      </c>
      <c r="D43" s="105">
        <v>1.2736</v>
      </c>
      <c r="E43" s="105">
        <v>1.2947</v>
      </c>
      <c r="F43" s="105">
        <v>0.8433</v>
      </c>
      <c r="G43" s="145">
        <v>0.9085000000000001</v>
      </c>
      <c r="H43" s="105">
        <v>1.0984</v>
      </c>
      <c r="I43" s="105">
        <v>1.3628</v>
      </c>
      <c r="J43" s="105">
        <v>1.4059</v>
      </c>
      <c r="K43" s="105">
        <v>0.8181</v>
      </c>
      <c r="M43" s="166"/>
    </row>
    <row r="44" spans="1:13" ht="15">
      <c r="A44" s="93" t="s">
        <v>79</v>
      </c>
      <c r="B44" s="185">
        <f aca="true" t="shared" si="2" ref="B44:K44">B43*B12</f>
        <v>12.43152</v>
      </c>
      <c r="C44" s="186">
        <f t="shared" si="2"/>
        <v>515.2128</v>
      </c>
      <c r="D44" s="187">
        <f t="shared" si="2"/>
        <v>9.80672</v>
      </c>
      <c r="E44" s="186">
        <f t="shared" si="2"/>
        <v>168.311</v>
      </c>
      <c r="F44" s="188">
        <f t="shared" si="2"/>
        <v>61.30791000000001</v>
      </c>
      <c r="G44" s="187">
        <f t="shared" si="2"/>
        <v>19.4419</v>
      </c>
      <c r="H44" s="187">
        <f t="shared" si="2"/>
        <v>19.7712</v>
      </c>
      <c r="I44" s="189">
        <f t="shared" si="2"/>
        <v>286.188</v>
      </c>
      <c r="J44" s="187">
        <f t="shared" si="2"/>
        <v>30.22685</v>
      </c>
      <c r="K44" s="187">
        <f t="shared" si="2"/>
        <v>308.50551</v>
      </c>
      <c r="L44" s="190"/>
      <c r="M44" s="191"/>
    </row>
    <row r="45" spans="1:13" ht="18">
      <c r="A45" t="s">
        <v>78</v>
      </c>
      <c r="B45" s="105">
        <v>0.8633000000000001</v>
      </c>
      <c r="C45" s="105">
        <v>1.3417</v>
      </c>
      <c r="D45" s="105">
        <v>1.2736</v>
      </c>
      <c r="E45" s="105">
        <v>1.2947</v>
      </c>
      <c r="F45" s="105">
        <v>0.8433</v>
      </c>
      <c r="G45" s="145">
        <v>0.9085000000000001</v>
      </c>
      <c r="H45" s="105">
        <v>1.0984</v>
      </c>
      <c r="I45" s="105">
        <v>1.3628</v>
      </c>
      <c r="J45" s="105">
        <v>1.4059</v>
      </c>
      <c r="K45" s="105">
        <v>0.8181</v>
      </c>
      <c r="M45" s="166"/>
    </row>
    <row r="46" spans="1:13" ht="15">
      <c r="A46" s="93" t="s">
        <v>79</v>
      </c>
      <c r="B46" s="146">
        <f aca="true" t="shared" si="3" ref="B46:K46">B45*B14</f>
        <v>17.87031</v>
      </c>
      <c r="C46" s="147">
        <f t="shared" si="3"/>
        <v>429.34399999999994</v>
      </c>
      <c r="D46" s="148">
        <f t="shared" si="3"/>
        <v>7.6416</v>
      </c>
      <c r="E46" s="147">
        <f t="shared" si="3"/>
        <v>161.8375</v>
      </c>
      <c r="F46" s="149">
        <f t="shared" si="3"/>
        <v>81.8001</v>
      </c>
      <c r="G46" s="148">
        <f t="shared" si="3"/>
        <v>28.163500000000003</v>
      </c>
      <c r="H46" s="148">
        <f t="shared" si="3"/>
        <v>15.377600000000001</v>
      </c>
      <c r="I46" s="150">
        <f t="shared" si="3"/>
        <v>340.7</v>
      </c>
      <c r="J46" s="148">
        <f t="shared" si="3"/>
        <v>23.900299999999998</v>
      </c>
      <c r="K46" s="148">
        <f t="shared" si="3"/>
        <v>474.49800000000005</v>
      </c>
      <c r="L46" s="151"/>
      <c r="M46" s="191"/>
    </row>
    <row r="47" spans="1:13" ht="18">
      <c r="A47" t="s">
        <v>78</v>
      </c>
      <c r="B47" s="105">
        <v>0.8633000000000001</v>
      </c>
      <c r="C47" s="105">
        <v>1.3417</v>
      </c>
      <c r="D47" s="105">
        <v>1.2736</v>
      </c>
      <c r="E47" s="105">
        <v>1.2947</v>
      </c>
      <c r="F47" s="105">
        <v>0.8433</v>
      </c>
      <c r="G47" s="145">
        <v>0.9085000000000001</v>
      </c>
      <c r="H47" s="105">
        <v>1.0984</v>
      </c>
      <c r="I47" s="105">
        <v>1.3628</v>
      </c>
      <c r="J47" s="105">
        <v>1.4059</v>
      </c>
      <c r="K47" s="105">
        <v>0.8181</v>
      </c>
      <c r="M47" s="166"/>
    </row>
    <row r="48" spans="1:13" ht="15">
      <c r="A48" s="93" t="s">
        <v>79</v>
      </c>
      <c r="B48" s="146">
        <f aca="true" t="shared" si="4" ref="B48:K48">B47*B16</f>
        <v>15.798390000000001</v>
      </c>
      <c r="C48" s="147">
        <f t="shared" si="4"/>
        <v>360.91729999999995</v>
      </c>
      <c r="D48" s="148">
        <f t="shared" si="4"/>
        <v>9.29728</v>
      </c>
      <c r="E48" s="147">
        <f t="shared" si="4"/>
        <v>142.417</v>
      </c>
      <c r="F48" s="149">
        <f t="shared" si="4"/>
        <v>70.24689000000001</v>
      </c>
      <c r="G48" s="148">
        <f t="shared" si="4"/>
        <v>28.163500000000003</v>
      </c>
      <c r="H48" s="148">
        <f t="shared" si="4"/>
        <v>20.3204</v>
      </c>
      <c r="I48" s="150">
        <f t="shared" si="4"/>
        <v>218.048</v>
      </c>
      <c r="J48" s="148">
        <f t="shared" si="4"/>
        <v>35.1475</v>
      </c>
      <c r="K48" s="148">
        <f t="shared" si="4"/>
        <v>334.52109</v>
      </c>
      <c r="L48" s="151" t="s">
        <v>112</v>
      </c>
      <c r="M48" s="191"/>
    </row>
    <row r="49" spans="1:13" ht="18">
      <c r="A49" t="s">
        <v>78</v>
      </c>
      <c r="B49" s="105">
        <v>0.8633000000000001</v>
      </c>
      <c r="C49" s="105">
        <v>1.3417</v>
      </c>
      <c r="D49" s="105">
        <v>1.2736</v>
      </c>
      <c r="E49" s="105">
        <v>1.2947</v>
      </c>
      <c r="F49" s="105">
        <v>0.8433</v>
      </c>
      <c r="G49" s="145">
        <v>0.9085000000000001</v>
      </c>
      <c r="H49" s="105">
        <v>1.0984</v>
      </c>
      <c r="I49" s="105">
        <v>1.3628</v>
      </c>
      <c r="J49" s="105">
        <v>1.4059</v>
      </c>
      <c r="K49" s="105">
        <v>0.8181</v>
      </c>
      <c r="M49" s="166"/>
    </row>
    <row r="50" spans="1:13" ht="15">
      <c r="A50" s="93" t="s">
        <v>79</v>
      </c>
      <c r="B50" s="146">
        <f aca="true" t="shared" si="5" ref="B50:K50">B49*B18</f>
        <v>14.676100000000002</v>
      </c>
      <c r="C50" s="147">
        <f t="shared" si="5"/>
        <v>360.91729999999995</v>
      </c>
      <c r="D50" s="148">
        <f t="shared" si="5"/>
        <v>8.66048</v>
      </c>
      <c r="E50" s="147">
        <f t="shared" si="5"/>
        <v>75.0926</v>
      </c>
      <c r="F50" s="149">
        <f t="shared" si="5"/>
        <v>74.2104</v>
      </c>
      <c r="G50" s="148">
        <f t="shared" si="5"/>
        <v>28.163500000000003</v>
      </c>
      <c r="H50" s="148">
        <f t="shared" si="5"/>
        <v>18.672800000000002</v>
      </c>
      <c r="I50" s="150">
        <f t="shared" si="5"/>
        <v>102.21000000000001</v>
      </c>
      <c r="J50" s="148">
        <f t="shared" si="5"/>
        <v>32.616879999999995</v>
      </c>
      <c r="K50" s="148">
        <f t="shared" si="5"/>
        <v>474.49800000000005</v>
      </c>
      <c r="L50" s="151" t="s">
        <v>112</v>
      </c>
      <c r="M50" s="191"/>
    </row>
    <row r="51" spans="1:13" ht="18">
      <c r="A51" t="s">
        <v>78</v>
      </c>
      <c r="B51" s="105">
        <v>0.8633000000000001</v>
      </c>
      <c r="C51" s="105">
        <v>1.3417</v>
      </c>
      <c r="D51" s="105">
        <v>1.2736</v>
      </c>
      <c r="E51" s="105">
        <v>1.2947</v>
      </c>
      <c r="F51" s="105">
        <v>0.8433</v>
      </c>
      <c r="G51" s="145">
        <v>0.9085000000000001</v>
      </c>
      <c r="H51" s="105">
        <v>1.0984</v>
      </c>
      <c r="I51" s="105">
        <v>1.3628</v>
      </c>
      <c r="J51" s="105">
        <v>1.4059</v>
      </c>
      <c r="K51" s="105">
        <v>0.8181</v>
      </c>
      <c r="M51" s="166"/>
    </row>
    <row r="52" spans="1:13" ht="15">
      <c r="A52" s="93" t="s">
        <v>79</v>
      </c>
      <c r="B52" s="146">
        <f aca="true" t="shared" si="6" ref="B52:K52">B51*B20</f>
        <v>17.87031</v>
      </c>
      <c r="C52" s="147">
        <f t="shared" si="6"/>
        <v>222.7222</v>
      </c>
      <c r="D52" s="148">
        <f t="shared" si="6"/>
        <v>9.04256</v>
      </c>
      <c r="E52" s="147">
        <f t="shared" si="6"/>
        <v>75.0926</v>
      </c>
      <c r="F52" s="149">
        <f t="shared" si="6"/>
        <v>81.251955</v>
      </c>
      <c r="G52" s="148">
        <f t="shared" si="6"/>
        <v>28.163500000000003</v>
      </c>
      <c r="H52" s="148">
        <f t="shared" si="6"/>
        <v>19.44168</v>
      </c>
      <c r="I52" s="150">
        <f t="shared" si="6"/>
        <v>102.21000000000001</v>
      </c>
      <c r="J52" s="148">
        <f t="shared" si="6"/>
        <v>25.306199999999997</v>
      </c>
      <c r="K52" s="148">
        <f t="shared" si="6"/>
        <v>474.49800000000005</v>
      </c>
      <c r="L52" s="151" t="s">
        <v>112</v>
      </c>
      <c r="M52" s="191"/>
    </row>
    <row r="53" spans="1:13" ht="18">
      <c r="A53" t="s">
        <v>78</v>
      </c>
      <c r="B53" s="105">
        <v>0.8633000000000001</v>
      </c>
      <c r="C53" s="105">
        <v>1.3417</v>
      </c>
      <c r="D53" s="105">
        <v>1.2736</v>
      </c>
      <c r="E53" s="105">
        <v>1.2947</v>
      </c>
      <c r="F53" s="105">
        <v>0.8433</v>
      </c>
      <c r="G53" s="145">
        <v>0.9085000000000001</v>
      </c>
      <c r="H53" s="105">
        <v>1.0984</v>
      </c>
      <c r="I53" s="105">
        <v>1.3628</v>
      </c>
      <c r="J53" s="105">
        <v>1.4059</v>
      </c>
      <c r="K53" s="105">
        <v>0.8181</v>
      </c>
      <c r="M53" s="166"/>
    </row>
    <row r="54" spans="1:13" ht="15">
      <c r="A54" s="93" t="s">
        <v>79</v>
      </c>
      <c r="B54" s="146">
        <f aca="true" t="shared" si="7" ref="B54:K54">B53*B22</f>
        <v>17.87031</v>
      </c>
      <c r="C54" s="147">
        <f t="shared" si="7"/>
        <v>222.7222</v>
      </c>
      <c r="D54" s="148">
        <f t="shared" si="7"/>
        <v>7.06848</v>
      </c>
      <c r="E54" s="147">
        <f t="shared" si="7"/>
        <v>75.0926</v>
      </c>
      <c r="F54" s="149">
        <f t="shared" si="7"/>
        <v>81.251955</v>
      </c>
      <c r="G54" s="148">
        <f t="shared" si="7"/>
        <v>28.163500000000003</v>
      </c>
      <c r="H54" s="148">
        <f t="shared" si="7"/>
        <v>4.0970320000000005</v>
      </c>
      <c r="I54" s="150">
        <f t="shared" si="7"/>
        <v>102.21000000000001</v>
      </c>
      <c r="J54" s="148">
        <f t="shared" si="7"/>
        <v>7.099794999999999</v>
      </c>
      <c r="K54" s="148">
        <f t="shared" si="7"/>
        <v>474.49800000000005</v>
      </c>
      <c r="L54" s="151" t="s">
        <v>112</v>
      </c>
      <c r="M54" s="191"/>
    </row>
    <row r="55" spans="1:13" ht="18">
      <c r="A55" t="s">
        <v>78</v>
      </c>
      <c r="B55" s="105">
        <v>0.8633000000000001</v>
      </c>
      <c r="C55" s="105">
        <v>1.3417</v>
      </c>
      <c r="D55" s="105">
        <v>1.2736</v>
      </c>
      <c r="E55" s="105">
        <v>1.2947</v>
      </c>
      <c r="F55" s="105">
        <v>0.8433</v>
      </c>
      <c r="G55" s="145">
        <v>0.9085000000000001</v>
      </c>
      <c r="H55" s="105">
        <v>1.0984</v>
      </c>
      <c r="I55" s="105">
        <v>1.3628</v>
      </c>
      <c r="J55" s="105">
        <v>1.4059</v>
      </c>
      <c r="K55" s="105">
        <v>0.8181</v>
      </c>
      <c r="M55" s="166"/>
    </row>
    <row r="56" spans="1:13" ht="15">
      <c r="A56" s="93" t="s">
        <v>79</v>
      </c>
      <c r="B56" s="146">
        <f aca="true" t="shared" si="8" ref="B56:K56">B55*B24</f>
        <v>17.87031</v>
      </c>
      <c r="C56" s="147">
        <f t="shared" si="8"/>
        <v>222.7222</v>
      </c>
      <c r="D56" s="148">
        <f t="shared" si="8"/>
        <v>12.0992</v>
      </c>
      <c r="E56" s="147">
        <f t="shared" si="8"/>
        <v>75.0926</v>
      </c>
      <c r="F56" s="149">
        <f t="shared" si="8"/>
        <v>81.251955</v>
      </c>
      <c r="G56" s="148">
        <f t="shared" si="8"/>
        <v>28.163500000000003</v>
      </c>
      <c r="H56" s="148">
        <f t="shared" si="8"/>
        <v>23.6156</v>
      </c>
      <c r="I56" s="150">
        <f t="shared" si="8"/>
        <v>102.21000000000001</v>
      </c>
      <c r="J56" s="148">
        <f t="shared" si="8"/>
        <v>34.58514</v>
      </c>
      <c r="K56" s="148">
        <f t="shared" si="8"/>
        <v>474.49800000000005</v>
      </c>
      <c r="L56" s="151" t="s">
        <v>112</v>
      </c>
      <c r="M56" s="191"/>
    </row>
    <row r="57" spans="1:13" ht="18">
      <c r="A57" t="s">
        <v>78</v>
      </c>
      <c r="B57" s="105">
        <v>0.8633000000000001</v>
      </c>
      <c r="C57" s="105">
        <v>1.3417</v>
      </c>
      <c r="D57" s="105">
        <v>1.2736</v>
      </c>
      <c r="E57" s="105">
        <v>1.2947</v>
      </c>
      <c r="F57" s="105">
        <v>0.8433</v>
      </c>
      <c r="G57" s="145">
        <v>0.9085000000000001</v>
      </c>
      <c r="H57" s="105">
        <v>1.0984</v>
      </c>
      <c r="I57" s="105">
        <v>1.3628</v>
      </c>
      <c r="J57" s="105">
        <v>1.4059</v>
      </c>
      <c r="K57" s="105">
        <v>0.8181</v>
      </c>
      <c r="M57" s="166"/>
    </row>
    <row r="58" spans="1:13" ht="15">
      <c r="A58" s="93" t="s">
        <v>79</v>
      </c>
      <c r="B58" s="146">
        <f aca="true" t="shared" si="9" ref="B58:K58">B57*B26</f>
        <v>17.87031</v>
      </c>
      <c r="C58" s="147">
        <f t="shared" si="9"/>
        <v>275.0485</v>
      </c>
      <c r="D58" s="148">
        <f t="shared" si="9"/>
        <v>11.90816</v>
      </c>
      <c r="E58" s="147">
        <f t="shared" si="9"/>
        <v>148.8905</v>
      </c>
      <c r="F58" s="149">
        <f t="shared" si="9"/>
        <v>81.251955</v>
      </c>
      <c r="G58" s="148">
        <f t="shared" si="9"/>
        <v>28.163500000000003</v>
      </c>
      <c r="H58" s="148">
        <f t="shared" si="9"/>
        <v>24.714000000000002</v>
      </c>
      <c r="I58" s="150">
        <f t="shared" si="9"/>
        <v>102.21000000000001</v>
      </c>
      <c r="J58" s="148">
        <f t="shared" si="9"/>
        <v>40.068149999999996</v>
      </c>
      <c r="K58" s="148">
        <f t="shared" si="9"/>
        <v>474.49800000000005</v>
      </c>
      <c r="L58" s="151" t="s">
        <v>112</v>
      </c>
      <c r="M58" s="191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Heikki</dc:creator>
  <cp:keywords/>
  <dc:description/>
  <cp:lastModifiedBy>DELL</cp:lastModifiedBy>
  <dcterms:created xsi:type="dcterms:W3CDTF">2010-09-13T06:18:15Z</dcterms:created>
  <dcterms:modified xsi:type="dcterms:W3CDTF">2014-09-22T18:13:43Z</dcterms:modified>
  <cp:category/>
  <cp:version/>
  <cp:contentType/>
  <cp:contentStatus/>
</cp:coreProperties>
</file>