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81" windowWidth="15015" windowHeight="9405" activeTab="0"/>
  </bookViews>
  <sheets>
    <sheet name="O4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T100m">'O4-results and basic formulas'!$B$134</definedName>
    <definedName name="T1500m">'O4-results and basic formulas'!$K$134</definedName>
    <definedName name="T400m">'O4-results and basic formulas'!$F$134</definedName>
    <definedName name="TAidat">'O4-results and basic formulas'!$G$134</definedName>
    <definedName name="TKeihäs">'O4-results and basic formulas'!$J$134</definedName>
    <definedName name="TKiekko">'O4-results and basic formulas'!$H$134</definedName>
    <definedName name="TKorkeus">'O4-results and basic formulas'!$E$134</definedName>
    <definedName name="TKuula">'O4-results and basic formulas'!$D$134</definedName>
    <definedName name="TPituus">'O4-results and basic formulas'!$C$134</definedName>
    <definedName name="Tsata">'O4-results and basic formulas'!$B$134</definedName>
    <definedName name="TSeiväs">'O4-results and basic formulas'!$I$134</definedName>
    <definedName name="_xlnm.Print_Area" localSheetId="0">'O4-results and basic formulas'!$A$1:$O$71</definedName>
  </definedNames>
  <calcPr fullCalcOnLoad="1"/>
</workbook>
</file>

<file path=xl/sharedStrings.xml><?xml version="1.0" encoding="utf-8"?>
<sst xmlns="http://schemas.openxmlformats.org/spreadsheetml/2006/main" count="350" uniqueCount="169">
  <si>
    <t>Korkeus</t>
  </si>
  <si>
    <t>Pituus</t>
  </si>
  <si>
    <t>100+</t>
  </si>
  <si>
    <t>Yhteensä</t>
  </si>
  <si>
    <t>1500m</t>
  </si>
  <si>
    <t>100m</t>
  </si>
  <si>
    <t>400m</t>
  </si>
  <si>
    <t>Seiväs</t>
  </si>
  <si>
    <t>Pisteet</t>
  </si>
  <si>
    <t>Ikä</t>
  </si>
  <si>
    <t>Kerroin</t>
  </si>
  <si>
    <t>6.19,78</t>
  </si>
  <si>
    <t>50: 6 kg</t>
  </si>
  <si>
    <t>60: 5 kg</t>
  </si>
  <si>
    <t>70: 4 kg</t>
  </si>
  <si>
    <t>50: 1,5 kg</t>
  </si>
  <si>
    <t>60: 1,0 kg</t>
  </si>
  <si>
    <t>50: 700g</t>
  </si>
  <si>
    <t>60: 600g</t>
  </si>
  <si>
    <t>70: 500g</t>
  </si>
  <si>
    <t>80: 400g</t>
  </si>
  <si>
    <t>Välinemuutokset</t>
  </si>
  <si>
    <t>Konv. tulos</t>
  </si>
  <si>
    <t>500-vastine</t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</si>
  <si>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</si>
  <si>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0"/>
      </rPr>
      <t>/84</t>
    </r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</si>
  <si>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0"/>
      </rPr>
      <t>/76</t>
    </r>
  </si>
  <si>
    <r>
      <t>40:110/</t>
    </r>
    <r>
      <rPr>
        <b/>
        <sz val="10"/>
        <rFont val="Arial"/>
        <family val="2"/>
      </rPr>
      <t>99,2</t>
    </r>
  </si>
  <si>
    <t>4.41,18</t>
  </si>
  <si>
    <t xml:space="preserve">  5.43,7</t>
  </si>
  <si>
    <t>Ikäkerroin-55</t>
  </si>
  <si>
    <t>500-taso</t>
  </si>
  <si>
    <t>LASSE 03</t>
  </si>
  <si>
    <t>Vesa K</t>
  </si>
  <si>
    <t>Vesa Ka</t>
  </si>
  <si>
    <t xml:space="preserve">  5.43,2</t>
  </si>
  <si>
    <t>Artturi</t>
  </si>
  <si>
    <t>6.17,1</t>
  </si>
  <si>
    <t>Erkki</t>
  </si>
  <si>
    <t>Asko</t>
  </si>
  <si>
    <t>Timppa</t>
  </si>
  <si>
    <t>9.40,00</t>
  </si>
  <si>
    <t>Risto</t>
  </si>
  <si>
    <t>Olavi</t>
  </si>
  <si>
    <t>Martti</t>
  </si>
  <si>
    <t>6.48,9</t>
  </si>
  <si>
    <t>Janne</t>
  </si>
  <si>
    <t>Kimmo</t>
  </si>
  <si>
    <t>Marko</t>
  </si>
  <si>
    <t>Tadek</t>
  </si>
  <si>
    <t>Jari</t>
  </si>
  <si>
    <t>100 m</t>
  </si>
  <si>
    <t>Tulos</t>
  </si>
  <si>
    <t>Pisteet-35</t>
  </si>
  <si>
    <t>Pisteet-40</t>
  </si>
  <si>
    <t>Pisteet-45</t>
  </si>
  <si>
    <t>Pisteet-50</t>
  </si>
  <si>
    <t>Pisteet-55</t>
  </si>
  <si>
    <t>Timo P-55</t>
  </si>
  <si>
    <t>Arun P-35</t>
  </si>
  <si>
    <t>Asko P-55</t>
  </si>
  <si>
    <t>Risto P-55</t>
  </si>
  <si>
    <t>Kimmo Pisteet</t>
  </si>
  <si>
    <t>Heikki Pisteet</t>
  </si>
  <si>
    <t>Make Pisteet</t>
  </si>
  <si>
    <t>Janne Pisteet</t>
  </si>
  <si>
    <t>Lasse P-55</t>
  </si>
  <si>
    <t>Olavi P-55</t>
  </si>
  <si>
    <t>Martti P-55</t>
  </si>
  <si>
    <t>Ilkka P-45</t>
  </si>
  <si>
    <t>Jari Ha Pisteet</t>
  </si>
  <si>
    <t>Jussi Pisteet</t>
  </si>
  <si>
    <t>Anne pist</t>
  </si>
  <si>
    <t>Ansku pist</t>
  </si>
  <si>
    <r>
      <t>40:110/</t>
    </r>
    <r>
      <rPr>
        <b/>
        <sz val="12"/>
        <rFont val="Arial"/>
        <family val="2"/>
      </rPr>
      <t>99,2</t>
    </r>
  </si>
  <si>
    <r>
      <t xml:space="preserve">50: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/91,4</t>
    </r>
  </si>
  <si>
    <r>
      <t>60: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>/84</t>
    </r>
  </si>
  <si>
    <t>Long Jump</t>
  </si>
  <si>
    <t>Shot Put</t>
  </si>
  <si>
    <t>High Jump</t>
  </si>
  <si>
    <t>Hurdles</t>
  </si>
  <si>
    <t>Discus</t>
  </si>
  <si>
    <t>Javelin</t>
  </si>
  <si>
    <t>Pole Vault</t>
  </si>
  <si>
    <t>Total</t>
  </si>
  <si>
    <t>Changes of the tools in veteran age classes</t>
  </si>
  <si>
    <t>Men</t>
  </si>
  <si>
    <t>Result</t>
  </si>
  <si>
    <t>Points</t>
  </si>
  <si>
    <t>Women</t>
  </si>
  <si>
    <t>Scoring formulas</t>
  </si>
  <si>
    <t>Formulas from the official hepathlon tables where available, others with suitable approximation from neighbouring events</t>
  </si>
  <si>
    <t>Age</t>
  </si>
  <si>
    <t>Veteran scoring formulas</t>
  </si>
  <si>
    <t>World record</t>
  </si>
  <si>
    <t>Some examples</t>
  </si>
  <si>
    <t>1000-p level</t>
  </si>
  <si>
    <t>900 p level</t>
  </si>
  <si>
    <t>1 p level</t>
  </si>
  <si>
    <t>LASSE 03 -result</t>
  </si>
  <si>
    <t>55 factor</t>
  </si>
  <si>
    <t>1 p level - 55</t>
  </si>
  <si>
    <t>500 p level for different age classes</t>
  </si>
  <si>
    <t>Converted result</t>
  </si>
  <si>
    <t>PB</t>
  </si>
  <si>
    <t>PB excl SP</t>
  </si>
  <si>
    <t xml:space="preserve">The veteran factors </t>
  </si>
  <si>
    <t>Kuula*</t>
  </si>
  <si>
    <t>Aidat*</t>
  </si>
  <si>
    <t>Kiekko*</t>
  </si>
  <si>
    <t>Keihäs*</t>
  </si>
  <si>
    <t>* Välinemuutosten vaikutukset arvioitu</t>
  </si>
  <si>
    <t>in seconds</t>
  </si>
  <si>
    <t>Results</t>
  </si>
  <si>
    <t>Tadek P-40</t>
  </si>
  <si>
    <t>Heikki Pirjola</t>
  </si>
  <si>
    <t>Tuula Kukkonen</t>
  </si>
  <si>
    <t>Jussi Näveri</t>
  </si>
  <si>
    <t>Kimmo Kivelä</t>
  </si>
  <si>
    <t>Marko Kapanen</t>
  </si>
  <si>
    <t>Jari Harjunpää</t>
  </si>
  <si>
    <t xml:space="preserve">Lasse Kyrö </t>
  </si>
  <si>
    <t xml:space="preserve">Vesa Kukkonen  </t>
  </si>
  <si>
    <t>Artturi P-55</t>
  </si>
  <si>
    <t>Ilkka Passi</t>
  </si>
  <si>
    <t>Tadek Dyba</t>
  </si>
  <si>
    <t>Martti  Näveri</t>
  </si>
  <si>
    <t>Vesa Kanniainen</t>
  </si>
  <si>
    <t>Asko Valli</t>
  </si>
  <si>
    <t>Olavi  Uotila</t>
  </si>
  <si>
    <t>Risto Pirjola</t>
  </si>
  <si>
    <t>Arun  Pokhrel</t>
  </si>
  <si>
    <t>Timo Hakulinen</t>
  </si>
  <si>
    <t>Sirpa Pist</t>
  </si>
  <si>
    <t>Tuula Pist</t>
  </si>
  <si>
    <t>Sirpa Salmela</t>
  </si>
  <si>
    <t>Pirkko Artman</t>
  </si>
  <si>
    <t>Maria Sinivaara</t>
  </si>
  <si>
    <t>Seppo Pentikäinen</t>
  </si>
  <si>
    <t>Seppo P-45</t>
  </si>
  <si>
    <t>Eeva-Liisa Hallanaro</t>
  </si>
  <si>
    <t>Eeva-Liisa Pist</t>
  </si>
  <si>
    <t>Sanna Kyrö</t>
  </si>
  <si>
    <t>Sanna Pist</t>
  </si>
  <si>
    <t>Kuressaare 27.8.2005</t>
  </si>
  <si>
    <t xml:space="preserve">Jan Nordqvist </t>
  </si>
  <si>
    <t>centimeters</t>
  </si>
  <si>
    <t>meters</t>
  </si>
  <si>
    <t>Anna-Maria Kapanen</t>
  </si>
  <si>
    <t>Pike pist</t>
  </si>
  <si>
    <t>Kirsti Uotila</t>
  </si>
  <si>
    <t>Kirsti Pist</t>
  </si>
  <si>
    <t>Eeva Kyrö</t>
  </si>
  <si>
    <t>Eeva Pist</t>
  </si>
  <si>
    <t xml:space="preserve">Heikki Artman  </t>
  </si>
  <si>
    <t>Raimo Sinivaara</t>
  </si>
  <si>
    <t>Kille P-55</t>
  </si>
  <si>
    <t>Saana Sinivaara</t>
  </si>
  <si>
    <t>Saana pist.</t>
  </si>
  <si>
    <t>Aino Kyrö</t>
  </si>
  <si>
    <t>Aino pist.</t>
  </si>
  <si>
    <t>Antti Valli</t>
  </si>
  <si>
    <t>Marek</t>
  </si>
  <si>
    <t>Marek P-45</t>
  </si>
  <si>
    <t xml:space="preserve"> </t>
  </si>
  <si>
    <t>Janne Pisteet-35</t>
  </si>
  <si>
    <t>Vesku P-55</t>
  </si>
  <si>
    <t>Veska  P-55</t>
  </si>
  <si>
    <t>XXVI Decathlon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</si>
</sst>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26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right"/>
    </xf>
    <xf numFmtId="171" fontId="0" fillId="0" borderId="0" xfId="16" applyAlignment="1">
      <alignment/>
    </xf>
    <xf numFmtId="169" fontId="0" fillId="0" borderId="0" xfId="19" applyAlignment="1">
      <alignment/>
    </xf>
    <xf numFmtId="169" fontId="1" fillId="0" borderId="0" xfId="19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171" fontId="0" fillId="0" borderId="2" xfId="16" applyBorder="1" applyAlignment="1">
      <alignment/>
    </xf>
    <xf numFmtId="169" fontId="1" fillId="0" borderId="2" xfId="19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6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left"/>
    </xf>
    <xf numFmtId="171" fontId="0" fillId="0" borderId="6" xfId="16" applyBorder="1" applyAlignment="1">
      <alignment horizontal="right"/>
    </xf>
    <xf numFmtId="169" fontId="1" fillId="0" borderId="6" xfId="19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9" fontId="1" fillId="0" borderId="9" xfId="19" applyFont="1" applyBorder="1" applyAlignment="1">
      <alignment/>
    </xf>
    <xf numFmtId="0" fontId="2" fillId="0" borderId="10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71" fontId="0" fillId="0" borderId="7" xfId="16" applyBorder="1" applyAlignment="1">
      <alignment horizontal="right"/>
    </xf>
    <xf numFmtId="171" fontId="0" fillId="0" borderId="10" xfId="16" applyBorder="1" applyAlignment="1">
      <alignment horizontal="right"/>
    </xf>
    <xf numFmtId="169" fontId="0" fillId="0" borderId="10" xfId="16" applyNumberFormat="1" applyBorder="1" applyAlignment="1">
      <alignment horizontal="right"/>
    </xf>
    <xf numFmtId="0" fontId="8" fillId="0" borderId="1" xfId="0" applyFont="1" applyBorder="1" applyAlignment="1">
      <alignment/>
    </xf>
    <xf numFmtId="172" fontId="0" fillId="0" borderId="10" xfId="16" applyNumberFormat="1" applyBorder="1" applyAlignment="1">
      <alignment horizontal="center"/>
    </xf>
    <xf numFmtId="171" fontId="0" fillId="0" borderId="10" xfId="16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16" applyFont="1" applyAlignment="1">
      <alignment/>
    </xf>
    <xf numFmtId="0" fontId="3" fillId="0" borderId="11" xfId="0" applyFont="1" applyBorder="1" applyAlignment="1">
      <alignment/>
    </xf>
    <xf numFmtId="169" fontId="1" fillId="0" borderId="12" xfId="19" applyFont="1" applyBorder="1" applyAlignment="1">
      <alignment horizontal="center"/>
    </xf>
    <xf numFmtId="169" fontId="1" fillId="0" borderId="13" xfId="19" applyFont="1" applyBorder="1" applyAlignment="1">
      <alignment/>
    </xf>
    <xf numFmtId="0" fontId="0" fillId="0" borderId="11" xfId="0" applyBorder="1" applyAlignment="1">
      <alignment/>
    </xf>
    <xf numFmtId="169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169" fontId="1" fillId="0" borderId="15" xfId="19" applyFont="1" applyBorder="1" applyAlignment="1">
      <alignment horizontal="center"/>
    </xf>
    <xf numFmtId="169" fontId="1" fillId="0" borderId="14" xfId="19" applyFont="1" applyBorder="1" applyAlignment="1">
      <alignment/>
    </xf>
    <xf numFmtId="169" fontId="1" fillId="0" borderId="16" xfId="19" applyFont="1" applyBorder="1" applyAlignment="1">
      <alignment/>
    </xf>
    <xf numFmtId="0" fontId="0" fillId="0" borderId="14" xfId="0" applyBorder="1" applyAlignment="1">
      <alignment/>
    </xf>
    <xf numFmtId="169" fontId="2" fillId="0" borderId="14" xfId="0" applyNumberFormat="1" applyFont="1" applyBorder="1" applyAlignment="1">
      <alignment/>
    </xf>
    <xf numFmtId="171" fontId="1" fillId="0" borderId="6" xfId="16" applyFont="1" applyBorder="1" applyAlignment="1">
      <alignment horizontal="right"/>
    </xf>
    <xf numFmtId="171" fontId="1" fillId="0" borderId="0" xfId="16" applyFont="1" applyAlignment="1">
      <alignment/>
    </xf>
    <xf numFmtId="171" fontId="1" fillId="0" borderId="2" xfId="16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1" fillId="0" borderId="11" xfId="19" applyFont="1" applyBorder="1" applyAlignment="1">
      <alignment/>
    </xf>
    <xf numFmtId="169" fontId="1" fillId="0" borderId="17" xfId="19" applyFont="1" applyBorder="1" applyAlignment="1">
      <alignment/>
    </xf>
    <xf numFmtId="171" fontId="13" fillId="0" borderId="7" xfId="16" applyFont="1" applyBorder="1" applyAlignment="1">
      <alignment horizontal="right"/>
    </xf>
    <xf numFmtId="169" fontId="13" fillId="0" borderId="10" xfId="16" applyNumberFormat="1" applyFont="1" applyBorder="1" applyAlignment="1">
      <alignment horizontal="right"/>
    </xf>
    <xf numFmtId="171" fontId="13" fillId="0" borderId="10" xfId="16" applyFont="1" applyBorder="1" applyAlignment="1">
      <alignment horizontal="right"/>
    </xf>
    <xf numFmtId="171" fontId="13" fillId="0" borderId="10" xfId="16" applyFont="1" applyBorder="1" applyAlignment="1">
      <alignment horizontal="center"/>
    </xf>
    <xf numFmtId="172" fontId="13" fillId="0" borderId="10" xfId="16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3" fillId="0" borderId="11" xfId="0" applyFont="1" applyBorder="1" applyAlignment="1">
      <alignment horizontal="right"/>
    </xf>
    <xf numFmtId="169" fontId="1" fillId="0" borderId="12" xfId="19" applyFont="1" applyBorder="1" applyAlignment="1">
      <alignment horizontal="right"/>
    </xf>
    <xf numFmtId="169" fontId="1" fillId="0" borderId="13" xfId="19" applyFont="1" applyBorder="1" applyAlignment="1">
      <alignment horizontal="right"/>
    </xf>
    <xf numFmtId="169" fontId="1" fillId="0" borderId="18" xfId="19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9" fontId="1" fillId="0" borderId="0" xfId="19" applyFont="1" applyBorder="1" applyAlignment="1">
      <alignment horizontal="center"/>
    </xf>
    <xf numFmtId="169" fontId="1" fillId="0" borderId="0" xfId="19" applyFont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169" fontId="3" fillId="0" borderId="21" xfId="19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19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right"/>
    </xf>
    <xf numFmtId="169" fontId="3" fillId="0" borderId="22" xfId="19" applyFont="1" applyBorder="1" applyAlignment="1">
      <alignment horizontal="center"/>
    </xf>
    <xf numFmtId="46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169" fontId="1" fillId="0" borderId="0" xfId="19" applyFont="1" applyAlignment="1">
      <alignment horizontal="left"/>
    </xf>
    <xf numFmtId="169" fontId="1" fillId="0" borderId="0" xfId="19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169" fontId="5" fillId="0" borderId="2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169" fontId="7" fillId="0" borderId="11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17" fontId="5" fillId="0" borderId="0" xfId="0" applyNumberFormat="1" applyFont="1" applyBorder="1" applyAlignment="1">
      <alignment horizontal="center"/>
    </xf>
    <xf numFmtId="171" fontId="5" fillId="0" borderId="19" xfId="16" applyFont="1" applyBorder="1" applyAlignment="1">
      <alignment horizontal="center"/>
    </xf>
    <xf numFmtId="169" fontId="5" fillId="0" borderId="0" xfId="19" applyFont="1" applyBorder="1" applyAlignment="1">
      <alignment horizontal="center"/>
    </xf>
    <xf numFmtId="171" fontId="5" fillId="0" borderId="0" xfId="16" applyFont="1" applyBorder="1" applyAlignment="1">
      <alignment horizontal="center"/>
    </xf>
    <xf numFmtId="171" fontId="5" fillId="0" borderId="20" xfId="16" applyFont="1" applyBorder="1" applyAlignment="1">
      <alignment horizontal="center"/>
    </xf>
    <xf numFmtId="17" fontId="1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" fontId="5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17" fontId="1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Border="1" applyAlignment="1">
      <alignment horizontal="left"/>
    </xf>
    <xf numFmtId="0" fontId="14" fillId="0" borderId="0" xfId="0" applyFont="1" applyAlignment="1">
      <alignment/>
    </xf>
    <xf numFmtId="173" fontId="5" fillId="0" borderId="19" xfId="0" applyNumberFormat="1" applyFont="1" applyBorder="1" applyAlignment="1">
      <alignment horizontal="center"/>
    </xf>
    <xf numFmtId="171" fontId="3" fillId="0" borderId="6" xfId="16" applyFont="1" applyBorder="1" applyAlignment="1">
      <alignment horizontal="center"/>
    </xf>
    <xf numFmtId="169" fontId="3" fillId="0" borderId="0" xfId="19" applyFont="1" applyAlignment="1">
      <alignment horizontal="center"/>
    </xf>
    <xf numFmtId="171" fontId="3" fillId="0" borderId="0" xfId="16" applyFont="1" applyAlignment="1">
      <alignment horizontal="center"/>
    </xf>
    <xf numFmtId="171" fontId="3" fillId="0" borderId="2" xfId="16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" borderId="1" xfId="0" applyFont="1" applyFill="1" applyBorder="1" applyAlignment="1">
      <alignment/>
    </xf>
    <xf numFmtId="169" fontId="3" fillId="3" borderId="21" xfId="19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9" fontId="3" fillId="3" borderId="1" xfId="19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69" fontId="7" fillId="3" borderId="22" xfId="0" applyNumberFormat="1" applyFont="1" applyFill="1" applyBorder="1" applyAlignment="1">
      <alignment/>
    </xf>
    <xf numFmtId="169" fontId="3" fillId="3" borderId="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169" fontId="5" fillId="3" borderId="21" xfId="19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9" fontId="5" fillId="3" borderId="1" xfId="19" applyFont="1" applyFill="1" applyBorder="1" applyAlignment="1">
      <alignment horizontal="center"/>
    </xf>
    <xf numFmtId="169" fontId="3" fillId="3" borderId="22" xfId="19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69" fontId="7" fillId="3" borderId="22" xfId="0" applyNumberFormat="1" applyFont="1" applyFill="1" applyBorder="1" applyAlignment="1">
      <alignment/>
    </xf>
    <xf numFmtId="169" fontId="3" fillId="3" borderId="8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9" fontId="7" fillId="3" borderId="1" xfId="19" applyFont="1" applyFill="1" applyBorder="1" applyAlignment="1">
      <alignment horizontal="center"/>
    </xf>
    <xf numFmtId="169" fontId="3" fillId="3" borderId="8" xfId="19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169" fontId="5" fillId="3" borderId="22" xfId="0" applyNumberFormat="1" applyFont="1" applyFill="1" applyBorder="1" applyAlignment="1">
      <alignment/>
    </xf>
    <xf numFmtId="169" fontId="7" fillId="3" borderId="8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169" fontId="3" fillId="3" borderId="1" xfId="19" applyFont="1" applyFill="1" applyBorder="1" applyAlignment="1">
      <alignment horizontal="left"/>
    </xf>
    <xf numFmtId="169" fontId="0" fillId="3" borderId="21" xfId="19" applyFont="1" applyFill="1" applyBorder="1" applyAlignment="1">
      <alignment horizontal="center"/>
    </xf>
    <xf numFmtId="169" fontId="0" fillId="3" borderId="1" xfId="19" applyFont="1" applyFill="1" applyBorder="1" applyAlignment="1">
      <alignment horizontal="center"/>
    </xf>
    <xf numFmtId="169" fontId="5" fillId="3" borderId="8" xfId="19" applyFont="1" applyFill="1" applyBorder="1" applyAlignment="1">
      <alignment horizontal="center"/>
    </xf>
    <xf numFmtId="169" fontId="7" fillId="3" borderId="1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9" xfId="19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19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9" fontId="5" fillId="0" borderId="19" xfId="1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19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9" fontId="7" fillId="0" borderId="2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5" fillId="0" borderId="0" xfId="16" applyFont="1" applyBorder="1" applyAlignment="1">
      <alignment/>
    </xf>
    <xf numFmtId="169" fontId="3" fillId="4" borderId="21" xfId="19" applyFont="1" applyFill="1" applyBorder="1" applyAlignment="1">
      <alignment horizontal="center"/>
    </xf>
    <xf numFmtId="169" fontId="3" fillId="4" borderId="1" xfId="19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9" fontId="3" fillId="4" borderId="8" xfId="19" applyFont="1" applyFill="1" applyBorder="1" applyAlignment="1">
      <alignment horizontal="center"/>
    </xf>
    <xf numFmtId="169" fontId="2" fillId="4" borderId="8" xfId="19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2"/>
  <sheetViews>
    <sheetView tabSelected="1" zoomScale="70" zoomScaleNormal="70" workbookViewId="0" topLeftCell="A116">
      <pane ySplit="1815" topLeftCell="BM1" activePane="bottomLeft" state="split"/>
      <selection pane="topLeft" activeCell="A123" sqref="A123"/>
      <selection pane="bottomLeft" activeCell="A1" sqref="A1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14062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2.57421875" style="0" customWidth="1"/>
    <col min="11" max="11" width="15.421875" style="0" customWidth="1"/>
    <col min="12" max="12" width="0.85546875" style="0" customWidth="1"/>
    <col min="13" max="13" width="17.28125" style="7" customWidth="1"/>
    <col min="14" max="15" width="12.57421875" style="0" bestFit="1" customWidth="1"/>
  </cols>
  <sheetData>
    <row r="1" spans="1:9" ht="61.5" customHeight="1">
      <c r="A1" s="159" t="s">
        <v>168</v>
      </c>
      <c r="D1" s="159" t="s">
        <v>113</v>
      </c>
      <c r="I1" s="111" t="s">
        <v>144</v>
      </c>
    </row>
    <row r="2" spans="2:15" s="7" customFormat="1" ht="41.25" customHeight="1">
      <c r="B2" s="151" t="s">
        <v>51</v>
      </c>
      <c r="C2" s="152" t="s">
        <v>77</v>
      </c>
      <c r="D2" s="152" t="s">
        <v>78</v>
      </c>
      <c r="E2" s="152" t="s">
        <v>79</v>
      </c>
      <c r="F2" s="152" t="s">
        <v>6</v>
      </c>
      <c r="G2" s="152" t="s">
        <v>80</v>
      </c>
      <c r="H2" s="152" t="s">
        <v>81</v>
      </c>
      <c r="I2" s="152" t="s">
        <v>83</v>
      </c>
      <c r="J2" s="152" t="s">
        <v>82</v>
      </c>
      <c r="K2" s="153" t="s">
        <v>4</v>
      </c>
      <c r="L2" s="95"/>
      <c r="M2" s="122" t="s">
        <v>84</v>
      </c>
      <c r="N2" s="154" t="s">
        <v>104</v>
      </c>
      <c r="O2" s="155"/>
    </row>
    <row r="3" spans="2:15" ht="13.5" customHeight="1">
      <c r="B3" s="149" t="s">
        <v>112</v>
      </c>
      <c r="C3" s="23" t="s">
        <v>146</v>
      </c>
      <c r="D3" s="23" t="s">
        <v>147</v>
      </c>
      <c r="E3" s="23" t="s">
        <v>146</v>
      </c>
      <c r="F3" s="167" t="s">
        <v>112</v>
      </c>
      <c r="G3" s="167" t="s">
        <v>112</v>
      </c>
      <c r="H3" s="23" t="s">
        <v>147</v>
      </c>
      <c r="I3" s="23" t="s">
        <v>146</v>
      </c>
      <c r="J3" s="23" t="s">
        <v>147</v>
      </c>
      <c r="K3" s="123" t="s">
        <v>112</v>
      </c>
      <c r="L3" s="23"/>
      <c r="M3" s="123"/>
      <c r="O3" s="24"/>
    </row>
    <row r="4" spans="2:15" ht="13.5" customHeight="1">
      <c r="B4" s="149"/>
      <c r="C4" s="23"/>
      <c r="D4" s="23"/>
      <c r="E4" s="23"/>
      <c r="F4" s="167"/>
      <c r="G4" s="167"/>
      <c r="H4" s="23"/>
      <c r="I4" s="23"/>
      <c r="J4" s="23"/>
      <c r="K4" s="123"/>
      <c r="L4" s="23"/>
      <c r="M4" s="123"/>
      <c r="O4" s="24"/>
    </row>
    <row r="5" spans="1:15" s="6" customFormat="1" ht="35.25" customHeight="1">
      <c r="A5" s="118" t="s">
        <v>148</v>
      </c>
      <c r="B5" s="135">
        <v>19.51</v>
      </c>
      <c r="C5" s="136">
        <v>217</v>
      </c>
      <c r="D5" s="136">
        <v>6.74</v>
      </c>
      <c r="E5" s="136">
        <v>100</v>
      </c>
      <c r="F5" s="136"/>
      <c r="G5" s="136"/>
      <c r="H5" s="136">
        <v>12.78</v>
      </c>
      <c r="I5" s="136"/>
      <c r="J5" s="136">
        <v>12.23</v>
      </c>
      <c r="K5" s="137"/>
      <c r="L5" s="102"/>
      <c r="M5" s="124"/>
      <c r="O5" s="156"/>
    </row>
    <row r="6" spans="1:15" s="168" customFormat="1" ht="18">
      <c r="A6" s="168" t="s">
        <v>73</v>
      </c>
      <c r="B6" s="169">
        <f>IF(B5=0," ",IF(B5&lt;21.25,TRUNC(4.99087*(42.5-B5*2)^1.81)," "))</f>
        <v>47</v>
      </c>
      <c r="C6" s="170">
        <f>IF(C5&gt;210,TRUNC(0.188807*(C5-210)^1.41)," ")</f>
        <v>2</v>
      </c>
      <c r="D6" s="231">
        <f>IF(D5&gt;1.5,TRUNC(56.0211*(D5-1.5)^1.05)," ")</f>
        <v>318</v>
      </c>
      <c r="E6" s="170">
        <f>IF(E5&gt;75,TRUNC(1.84523*(E5-75)^1.348)," ")</f>
        <v>141</v>
      </c>
      <c r="F6" s="170" t="str">
        <f>IF(F5=0," ",IF(F5&lt;105,TRUNC(0.11193*(254-F5*2.4)^1.88)," "))</f>
        <v> </v>
      </c>
      <c r="G6" s="170" t="str">
        <f>IF(G5=0," ",IF(G5&lt;26.7,TRUNC(9.23076*(26.7-G5)^1.835)," "))</f>
        <v> </v>
      </c>
      <c r="H6" s="172">
        <f>IF(H5&gt;3.7,TRUNC(12.91*(H5*H$98-4)^1.1)," ")</f>
        <v>163</v>
      </c>
      <c r="I6" s="172" t="str">
        <f>IF(I5&gt;75,TRUNC(0.2797*(I5*I$98-100)^1.35)," ")</f>
        <v> </v>
      </c>
      <c r="J6" s="170">
        <f>IF(J5&gt;3.8,TRUNC(15.9803*(J5-3.8)^1.04)," ")</f>
        <v>146</v>
      </c>
      <c r="K6" s="173" t="str">
        <f>IF(K5=0," ",IF(K5&lt;502,TRUNC(0.11193*(254-K5*0.5)^1.88)," "))</f>
        <v> </v>
      </c>
      <c r="M6" s="174">
        <f>SUM(B6:K6)</f>
        <v>817</v>
      </c>
      <c r="N6" s="175">
        <f>MAX(B6:K6)</f>
        <v>318</v>
      </c>
      <c r="O6" s="176"/>
    </row>
    <row r="7" spans="1:15" s="6" customFormat="1" ht="21.75" customHeight="1">
      <c r="A7" s="118" t="s">
        <v>136</v>
      </c>
      <c r="B7" s="145"/>
      <c r="C7" s="136"/>
      <c r="D7" s="136">
        <v>6.88</v>
      </c>
      <c r="E7" s="136"/>
      <c r="F7" s="104"/>
      <c r="G7" s="104"/>
      <c r="H7" s="104"/>
      <c r="I7" s="104"/>
      <c r="J7" s="104"/>
      <c r="K7" s="105"/>
      <c r="L7" s="102"/>
      <c r="M7" s="134"/>
      <c r="O7" s="156"/>
    </row>
    <row r="8" spans="1:15" s="168" customFormat="1" ht="18">
      <c r="A8" s="168" t="s">
        <v>149</v>
      </c>
      <c r="B8" s="177" t="str">
        <f>IF(B7=0," ",IF(B7&lt;21.25,TRUNC(4.99087*(42.5-B7*2)^1.81)," "))</f>
        <v> </v>
      </c>
      <c r="C8" s="170" t="str">
        <f>IF(C7&gt;210,TRUNC(0.188807*(C7-210)^1.41)," ")</f>
        <v> </v>
      </c>
      <c r="D8" s="231">
        <f>IF(D7&gt;1.5,TRUNC(56.0211*(D7-1.5)^1.05)," ")</f>
        <v>327</v>
      </c>
      <c r="E8" s="170" t="str">
        <f>IF(E7&gt;75,TRUNC(1.84523*(E7-75)^1.348)," ")</f>
        <v> </v>
      </c>
      <c r="F8" s="170" t="str">
        <f>IF(F7=0," ",IF(F7&lt;105,TRUNC(0.11193*(254-F7*2.4)^1.88)," "))</f>
        <v> </v>
      </c>
      <c r="G8" s="170" t="str">
        <f>IF(G7=0," ",IF(G7&lt;26.7,TRUNC(9.23076*(26.7-G7)^1.835)," "))</f>
        <v> </v>
      </c>
      <c r="H8" s="172" t="str">
        <f>IF(H7&gt;3.7,TRUNC(12.91*(H7*H$98-4)^1.1)," ")</f>
        <v> </v>
      </c>
      <c r="I8" s="172" t="str">
        <f>IF(I7&gt;75,TRUNC(0.2797*(I7*I$98-100)^1.35)," ")</f>
        <v> </v>
      </c>
      <c r="J8" s="170" t="str">
        <f>IF(J7&gt;3.8,TRUNC(15.9803*(J7-3.8)^1.04)," ")</f>
        <v> </v>
      </c>
      <c r="K8" s="173" t="str">
        <f>IF(K7=0," ",IF(K7&lt;502,TRUNC(0.11193*(254-K7*0.5)^1.88)," "))</f>
        <v> </v>
      </c>
      <c r="M8" s="174">
        <f>SUM(B8:K8)</f>
        <v>327</v>
      </c>
      <c r="N8" s="175">
        <f>MAX(B8:K8)</f>
        <v>327</v>
      </c>
      <c r="O8" s="176"/>
    </row>
    <row r="9" spans="1:15" s="118" customFormat="1" ht="18">
      <c r="A9" s="118" t="s">
        <v>137</v>
      </c>
      <c r="B9" s="135"/>
      <c r="C9" s="136"/>
      <c r="D9" s="136"/>
      <c r="E9" s="136"/>
      <c r="F9" s="136"/>
      <c r="G9" s="136"/>
      <c r="H9" s="136"/>
      <c r="I9" s="136"/>
      <c r="J9" s="136"/>
      <c r="K9" s="137"/>
      <c r="L9" s="138"/>
      <c r="M9" s="134"/>
      <c r="O9" s="157"/>
    </row>
    <row r="10" spans="1:15" s="168" customFormat="1" ht="16.5" customHeight="1">
      <c r="A10" s="168" t="s">
        <v>72</v>
      </c>
      <c r="B10" s="169" t="str">
        <f>IF(B9=0," ",IF(B9&lt;21.25,TRUNC(4.99087*(42.5-B9*2)^1.81)," "))</f>
        <v> </v>
      </c>
      <c r="C10" s="170" t="str">
        <f>IF(C9&gt;210,TRUNC(0.188807*(C9-210)^1.41)," ")</f>
        <v> </v>
      </c>
      <c r="D10" s="171" t="str">
        <f>IF(D9&gt;1.5,TRUNC(56.0211*(D9-1.5)^1.05)," ")</f>
        <v> </v>
      </c>
      <c r="E10" s="170" t="str">
        <f>IF(E9&gt;75,TRUNC(1.84523*(E9-75)^1.348)," ")</f>
        <v> </v>
      </c>
      <c r="F10" s="170" t="str">
        <f>IF(F9=0," ",IF(F9&lt;105,TRUNC(0.11193*(254-F9*2.4)^1.88)," "))</f>
        <v> </v>
      </c>
      <c r="G10" s="170" t="str">
        <f>IF(G9=0," ",IF(G9&lt;26.7,TRUNC(9.23076*(26.7-G9)^1.835)," "))</f>
        <v> </v>
      </c>
      <c r="H10" s="172" t="str">
        <f>IF(H9&gt;3.7,TRUNC(12.91*(H9*H$98-4)^1.1)," ")</f>
        <v> </v>
      </c>
      <c r="I10" s="172" t="str">
        <f>IF(I9&gt;75,TRUNC(0.2797*(I9*I$98-100)^1.35)," ")</f>
        <v> </v>
      </c>
      <c r="J10" s="170" t="str">
        <f>IF(J9&gt;3.8,TRUNC(15.9803*(J9-3.8)^1.04)," ")</f>
        <v> </v>
      </c>
      <c r="K10" s="173" t="str">
        <f>IF(K9=0," ",IF(K9&lt;502,TRUNC(0.11193*(254-K9*0.5)^1.88)," "))</f>
        <v> </v>
      </c>
      <c r="M10" s="174">
        <f>SUM(B10:K10)</f>
        <v>0</v>
      </c>
      <c r="N10" s="175">
        <f>MAX(B10:K10)</f>
        <v>0</v>
      </c>
      <c r="O10" s="176"/>
    </row>
    <row r="11" spans="1:15" s="118" customFormat="1" ht="27.75" customHeight="1">
      <c r="A11" s="118" t="s">
        <v>150</v>
      </c>
      <c r="B11" s="160"/>
      <c r="C11" s="136"/>
      <c r="D11" s="136"/>
      <c r="E11" s="136"/>
      <c r="F11" s="136"/>
      <c r="G11" s="136"/>
      <c r="H11" s="136"/>
      <c r="I11" s="136"/>
      <c r="J11" s="136"/>
      <c r="K11" s="137"/>
      <c r="L11" s="139"/>
      <c r="M11" s="134"/>
      <c r="O11" s="157"/>
    </row>
    <row r="12" spans="1:15" s="168" customFormat="1" ht="18">
      <c r="A12" s="168" t="s">
        <v>151</v>
      </c>
      <c r="B12" s="177" t="str">
        <f>IF(B11=0," ",IF(B11&lt;21.25,TRUNC(4.99087*(42.5-B11*2)^1.81)," "))</f>
        <v> </v>
      </c>
      <c r="C12" s="170" t="str">
        <f>IF(C11&gt;210,TRUNC(0.188807*(C11-210)^1.41)," ")</f>
        <v> </v>
      </c>
      <c r="D12" s="170" t="str">
        <f>IF(D11&gt;1.5,TRUNC(56.0211*(D11-1.5)^1.05)," ")</f>
        <v> </v>
      </c>
      <c r="E12" s="170" t="str">
        <f>IF(E11&gt;75,TRUNC(1.84523*(E11-75)^1.348)," ")</f>
        <v> </v>
      </c>
      <c r="F12" s="170" t="str">
        <f>IF(F11=0," ",IF(F11&lt;105,TRUNC(0.11193*(254-F11*2.4)^1.88)," "))</f>
        <v> </v>
      </c>
      <c r="G12" s="170" t="str">
        <f>IF(G11=0," ",IF(G11&lt;26.7,TRUNC(9.23076*(26.7-G11)^1.835)," "))</f>
        <v> </v>
      </c>
      <c r="H12" s="172" t="str">
        <f>IF(H11&gt;3.7,TRUNC(12.91*(H11*H$98-4)^1.1)," ")</f>
        <v> </v>
      </c>
      <c r="I12" s="172" t="str">
        <f>IF(I11&gt;75,TRUNC(0.2797*(I11*I$98-100)^1.35)," ")</f>
        <v> </v>
      </c>
      <c r="J12" s="170" t="str">
        <f>IF(J11&gt;3.8,TRUNC(15.9803*(J11-3.8)^1.04)," ")</f>
        <v> </v>
      </c>
      <c r="K12" s="173" t="str">
        <f>IF(K11=0," ",IF(K11&lt;502,TRUNC(0.11193*(254-K11*0.5)^1.88)," "))</f>
        <v> </v>
      </c>
      <c r="M12" s="174">
        <f>SUM(B12:K12)</f>
        <v>0</v>
      </c>
      <c r="N12" s="175">
        <f>MAX(B12:K12)</f>
        <v>0</v>
      </c>
      <c r="O12" s="176"/>
    </row>
    <row r="13" spans="1:15" s="118" customFormat="1" ht="19.5" customHeight="1">
      <c r="A13" s="118" t="s">
        <v>135</v>
      </c>
      <c r="B13" s="135"/>
      <c r="C13" s="136"/>
      <c r="D13" s="136"/>
      <c r="E13" s="136"/>
      <c r="F13" s="136"/>
      <c r="G13" s="136"/>
      <c r="H13" s="136"/>
      <c r="I13" s="136"/>
      <c r="J13" s="136"/>
      <c r="K13" s="137"/>
      <c r="L13" s="138"/>
      <c r="M13" s="134"/>
      <c r="O13" s="157"/>
    </row>
    <row r="14" spans="1:15" s="168" customFormat="1" ht="18">
      <c r="A14" s="168" t="s">
        <v>133</v>
      </c>
      <c r="B14" s="177" t="str">
        <f>IF(B13=0," ",IF(B13&lt;21.25,TRUNC(4.99087*(42.5-B13*2)^1.81)," "))</f>
        <v> </v>
      </c>
      <c r="C14" s="170" t="str">
        <f>IF(C13&gt;210,TRUNC(0.188807*(C13-210)^1.41)," ")</f>
        <v> </v>
      </c>
      <c r="D14" s="170" t="str">
        <f>IF(D13&gt;1.5,TRUNC(56.0211*(D13-1.5)^1.05)," ")</f>
        <v> </v>
      </c>
      <c r="E14" s="170" t="str">
        <f>IF(E13&gt;75,TRUNC(1.84523*(E13-75)^1.348)," ")</f>
        <v> </v>
      </c>
      <c r="F14" s="170" t="str">
        <f>IF(F13=0," ",IF(F13&lt;105,TRUNC(0.11193*(254-F13*2.4)^1.88)," "))</f>
        <v> </v>
      </c>
      <c r="G14" s="170" t="str">
        <f>IF(G13=0," ",IF(G13&lt;26.7,TRUNC(9.23076*(26.7-G13)^1.835)," "))</f>
        <v> </v>
      </c>
      <c r="H14" s="172" t="str">
        <f>IF(H13&gt;3.7,TRUNC(12.91*(H13*H$98-4)^1.1)," ")</f>
        <v> </v>
      </c>
      <c r="I14" s="172" t="str">
        <f>IF(I13&gt;75,TRUNC(0.2797*(I13*I$98-100)^1.35)," ")</f>
        <v> </v>
      </c>
      <c r="J14" s="170" t="str">
        <f>IF(J13&gt;3.8,TRUNC(15.9803*(J13-3.8)^1.04)," ")</f>
        <v> </v>
      </c>
      <c r="K14" s="173" t="str">
        <f>IF(K13=0," ",IF(K13&lt;502,TRUNC(0.11193*(254-K13*0.5)^1.88)," "))</f>
        <v> </v>
      </c>
      <c r="M14" s="174">
        <f>SUM(B14:K14)</f>
        <v>0</v>
      </c>
      <c r="N14" s="175">
        <f>MAX(B14:K14)</f>
        <v>0</v>
      </c>
      <c r="O14" s="176"/>
    </row>
    <row r="15" spans="1:15" s="118" customFormat="1" ht="21.75" customHeight="1">
      <c r="A15" s="118" t="s">
        <v>116</v>
      </c>
      <c r="B15" s="160"/>
      <c r="C15" s="136"/>
      <c r="D15" s="136"/>
      <c r="E15" s="136"/>
      <c r="F15" s="136"/>
      <c r="G15" s="136"/>
      <c r="H15" s="136"/>
      <c r="I15" s="136"/>
      <c r="J15" s="136"/>
      <c r="K15" s="137"/>
      <c r="L15" s="138"/>
      <c r="M15" s="134"/>
      <c r="O15" s="157"/>
    </row>
    <row r="16" spans="1:15" s="168" customFormat="1" ht="18">
      <c r="A16" s="168" t="s">
        <v>134</v>
      </c>
      <c r="B16" s="177" t="str">
        <f>IF(B15=0," ",IF(B15&lt;21.25,TRUNC(4.99087*(42.5-B15*2)^1.81)," "))</f>
        <v> </v>
      </c>
      <c r="C16" s="170" t="str">
        <f>IF(C15&gt;210,TRUNC(0.188807*(C15-210)^1.41)," ")</f>
        <v> </v>
      </c>
      <c r="D16" s="170" t="str">
        <f>IF(D15&gt;1.5,TRUNC(56.0211*(D15-1.5)^1.05)," ")</f>
        <v> </v>
      </c>
      <c r="E16" s="170" t="str">
        <f>IF(E15&gt;75,TRUNC(1.84523*(E15-75)^1.348)," ")</f>
        <v> </v>
      </c>
      <c r="F16" s="170" t="str">
        <f>IF(F15=0," ",IF(F15&lt;105,TRUNC(0.11193*(254-F15*2.4)^1.88)," "))</f>
        <v> </v>
      </c>
      <c r="G16" s="170" t="str">
        <f>IF(G15=0," ",IF(G15&lt;26.7,TRUNC(9.23076*(26.7-G15)^1.835)," "))</f>
        <v> </v>
      </c>
      <c r="H16" s="172" t="str">
        <f>IF(H15&gt;3.7,TRUNC(12.91*(H15*H$98-4)^1.1)," ")</f>
        <v> </v>
      </c>
      <c r="I16" s="172" t="str">
        <f>IF(I15&gt;75,TRUNC(0.2797*(I15*I$98-100)^1.35)," ")</f>
        <v> </v>
      </c>
      <c r="J16" s="170" t="str">
        <f>IF(J15&gt;3.8,TRUNC(15.9803*(J15-3.8)^1.04)," ")</f>
        <v> </v>
      </c>
      <c r="K16" s="173" t="str">
        <f>IF(K15=0," ",IF(K15&lt;502,TRUNC(0.11193*(254-K15*0.5)^1.88)," "))</f>
        <v> </v>
      </c>
      <c r="M16" s="174">
        <f>SUM(B16:K16)</f>
        <v>0</v>
      </c>
      <c r="N16" s="175">
        <f>MAX(B16:K16)</f>
        <v>0</v>
      </c>
      <c r="O16" s="176"/>
    </row>
    <row r="17" spans="1:15" s="211" customFormat="1" ht="21.75" customHeight="1">
      <c r="A17" s="211" t="s">
        <v>152</v>
      </c>
      <c r="B17" s="145"/>
      <c r="C17" s="147"/>
      <c r="D17" s="147"/>
      <c r="E17" s="147"/>
      <c r="F17" s="147"/>
      <c r="G17" s="147"/>
      <c r="H17" s="147"/>
      <c r="I17" s="147"/>
      <c r="J17" s="147"/>
      <c r="K17" s="206"/>
      <c r="L17" s="207"/>
      <c r="M17" s="208"/>
      <c r="O17" s="212"/>
    </row>
    <row r="18" spans="1:15" s="168" customFormat="1" ht="18">
      <c r="A18" s="168" t="s">
        <v>153</v>
      </c>
      <c r="B18" s="177" t="str">
        <f>IF(B17=0," ",IF(B17&lt;21.25,TRUNC(4.99087*(42.5-B17*2)^1.81)," "))</f>
        <v> </v>
      </c>
      <c r="C18" s="170" t="str">
        <f>IF(C17&gt;210,TRUNC(0.188807*(C17-210)^1.41)," ")</f>
        <v> </v>
      </c>
      <c r="D18" s="170" t="str">
        <f>IF(D17&gt;1.5,TRUNC(56.0211*(D17-1.5)^1.05)," ")</f>
        <v> </v>
      </c>
      <c r="E18" s="170" t="str">
        <f>IF(E17&gt;75,TRUNC(1.84523*(E17-75)^1.348)," ")</f>
        <v> </v>
      </c>
      <c r="F18" s="170" t="str">
        <f>IF(F17=0," ",IF(F17&lt;105,TRUNC(0.11193*(254-F17*2.4)^1.88)," "))</f>
        <v> </v>
      </c>
      <c r="G18" s="170" t="str">
        <f>IF(G17=0," ",IF(G17&lt;26.7,TRUNC(9.23076*(26.7-G17)^1.835)," "))</f>
        <v> </v>
      </c>
      <c r="H18" s="172" t="str">
        <f>IF(H17&gt;3.7,TRUNC(12.91*(H17*H$98-4)^1.1)," ")</f>
        <v> </v>
      </c>
      <c r="I18" s="172" t="str">
        <f>IF(I17&gt;75,TRUNC(0.2797*(I17*I$98-100)^1.35)," ")</f>
        <v> </v>
      </c>
      <c r="J18" s="170" t="str">
        <f>IF(J17&gt;3.8,TRUNC(15.9803*(J17-3.8)^1.04)," ")</f>
        <v> </v>
      </c>
      <c r="K18" s="173" t="str">
        <f>IF(K17=0," ",IF(K17&lt;502,TRUNC(0.11193*(254-K17*0.5)^1.88)," "))</f>
        <v> </v>
      </c>
      <c r="M18" s="174">
        <f>SUM(B18:K18)</f>
        <v>0</v>
      </c>
      <c r="N18" s="175">
        <f>MAX(B18:K18)</f>
        <v>0</v>
      </c>
      <c r="O18" s="176"/>
    </row>
    <row r="19" spans="1:15" s="102" customFormat="1" ht="18">
      <c r="A19" s="166" t="s">
        <v>140</v>
      </c>
      <c r="B19" s="160"/>
      <c r="C19" s="136">
        <v>253</v>
      </c>
      <c r="D19" s="136">
        <v>4.89</v>
      </c>
      <c r="E19" s="136"/>
      <c r="F19" s="136"/>
      <c r="G19" s="136"/>
      <c r="H19" s="136"/>
      <c r="I19" s="136"/>
      <c r="J19" s="136"/>
      <c r="K19" s="137"/>
      <c r="L19" s="138"/>
      <c r="M19" s="134"/>
      <c r="N19" s="165"/>
      <c r="O19" s="156"/>
    </row>
    <row r="20" spans="1:20" s="178" customFormat="1" ht="18">
      <c r="A20" s="168" t="s">
        <v>141</v>
      </c>
      <c r="B20" s="177" t="str">
        <f>IF(B19=0," ",IF(B19&lt;21.25,TRUNC(4.99087*(42.5-B19*2)^1.81)," "))</f>
        <v> </v>
      </c>
      <c r="C20" s="170">
        <f>IF(C19&gt;210,TRUNC(0.188807*(C19-210)^1.41)," ")</f>
        <v>37</v>
      </c>
      <c r="D20" s="231">
        <f>IF(D19&gt;1.5,TRUNC(56.0211*(D19-1.5)^1.05)," ")</f>
        <v>201</v>
      </c>
      <c r="E20" s="170" t="str">
        <f>IF(E19&gt;75,TRUNC(1.84523*(E19-75)^1.348)," ")</f>
        <v> </v>
      </c>
      <c r="F20" s="170" t="str">
        <f>IF(F19=0," ",IF(F19&lt;105,TRUNC(0.11193*(254-F19*2.4)^1.88)," "))</f>
        <v> </v>
      </c>
      <c r="G20" s="170" t="str">
        <f>IF(G19=0," ",IF(G19&lt;26.7,TRUNC(9.23076*(26.7-G19)^1.835)," "))</f>
        <v> </v>
      </c>
      <c r="H20" s="172" t="str">
        <f>IF(H19&gt;3.7,TRUNC(12.91*(H19*H$98-4)^1.1)," ")</f>
        <v> </v>
      </c>
      <c r="I20" s="172" t="str">
        <f>IF(I19&gt;75,TRUNC(0.2797*(I19*I$98-100)^1.35)," ")</f>
        <v> </v>
      </c>
      <c r="J20" s="170" t="str">
        <f>IF(J19&gt;3.8,TRUNC(15.9803*(J19-3.8)^1.04)," ")</f>
        <v> </v>
      </c>
      <c r="K20" s="173" t="str">
        <f>IF(K19=0," ",IF(K19&lt;502,TRUNC(0.11193*(254-K19*0.5)^1.88)," "))</f>
        <v> </v>
      </c>
      <c r="L20" s="168"/>
      <c r="M20" s="174">
        <f>SUM(B20:K20)</f>
        <v>238</v>
      </c>
      <c r="N20" s="175">
        <f>MAX(B20:K20)</f>
        <v>201</v>
      </c>
      <c r="O20" s="176"/>
      <c r="P20" s="168"/>
      <c r="Q20" s="168"/>
      <c r="R20" s="168"/>
      <c r="S20" s="168"/>
      <c r="T20" s="168"/>
    </row>
    <row r="21" spans="1:15" s="202" customFormat="1" ht="18">
      <c r="A21" s="197" t="s">
        <v>157</v>
      </c>
      <c r="B21" s="198">
        <v>14.88</v>
      </c>
      <c r="C21" s="199">
        <v>329</v>
      </c>
      <c r="D21" s="199">
        <v>6.35</v>
      </c>
      <c r="E21" s="228">
        <v>125</v>
      </c>
      <c r="F21" s="199">
        <v>88.38</v>
      </c>
      <c r="G21" s="199">
        <v>28.8</v>
      </c>
      <c r="H21" s="200">
        <v>13.82</v>
      </c>
      <c r="I21" s="200"/>
      <c r="J21" s="199">
        <v>12.29</v>
      </c>
      <c r="K21" s="201"/>
      <c r="M21" s="203"/>
      <c r="O21" s="204"/>
    </row>
    <row r="22" spans="1:20" s="178" customFormat="1" ht="18">
      <c r="A22" s="168" t="s">
        <v>158</v>
      </c>
      <c r="B22" s="226">
        <f>IF(B21=0," ",IF(B21&lt;21.25,TRUNC(4.99087*(42.5-B21*2)^1.81)," "))</f>
        <v>499</v>
      </c>
      <c r="C22" s="170">
        <f>IF(C21&gt;210,TRUNC(0.188807*(C21-210)^1.41)," ")</f>
        <v>159</v>
      </c>
      <c r="D22" s="170">
        <f>IF(D21&gt;1.5,TRUNC(56.0211*(D21-1.5)^1.05)," ")</f>
        <v>294</v>
      </c>
      <c r="E22" s="232">
        <f>IF(E21&gt;75,TRUNC(1.84523*(E21-75)^1.348)," ")</f>
        <v>359</v>
      </c>
      <c r="F22" s="170">
        <f>IF(F21=0," ",IF(F21&lt;105,TRUNC(0.11193*(254-F21*2.4)^1.88)," "))</f>
        <v>125</v>
      </c>
      <c r="G22" s="170">
        <f>IF(G21=0," ",IF(G21&lt;33.7,TRUNC(9.23076*(33.7-G21)^1.835)," "))</f>
        <v>170</v>
      </c>
      <c r="H22" s="172">
        <f>IF(H21&gt;3.7,TRUNC(12.91*(H21*H$98-4)^1.1)," ")</f>
        <v>183</v>
      </c>
      <c r="I22" s="172" t="str">
        <f>IF(I21&gt;75,TRUNC(0.2797*(I21*I$98-100)^1.35)," ")</f>
        <v> </v>
      </c>
      <c r="J22" s="170">
        <f>IF(J21&gt;3.8,TRUNC(15.9803*(J21-3.8)^1.04)," ")</f>
        <v>147</v>
      </c>
      <c r="K22" s="173" t="str">
        <f>IF(K21=0," ",IF(K21&lt;502,TRUNC(0.11193*(254-K21*0.5)^1.88)," "))</f>
        <v> </v>
      </c>
      <c r="L22" s="168"/>
      <c r="M22" s="174">
        <f>SUM(B22:K22)</f>
        <v>1936</v>
      </c>
      <c r="N22" s="175">
        <f>MAX(B22:K22)</f>
        <v>499</v>
      </c>
      <c r="O22" s="176"/>
      <c r="P22" s="168"/>
      <c r="Q22" s="168"/>
      <c r="R22" s="168"/>
      <c r="S22" s="168"/>
      <c r="T22" s="168"/>
    </row>
    <row r="23" spans="1:15" s="213" customFormat="1" ht="18">
      <c r="A23" s="221" t="s">
        <v>159</v>
      </c>
      <c r="B23" s="214">
        <v>16.39</v>
      </c>
      <c r="C23" s="215">
        <v>285</v>
      </c>
      <c r="D23" s="215">
        <v>4.21</v>
      </c>
      <c r="E23" s="215">
        <v>100</v>
      </c>
      <c r="F23" s="215">
        <v>91.32</v>
      </c>
      <c r="G23" s="215">
        <v>29.69</v>
      </c>
      <c r="H23" s="200">
        <v>7.6</v>
      </c>
      <c r="I23" s="216"/>
      <c r="J23" s="215">
        <v>7</v>
      </c>
      <c r="K23" s="217">
        <v>543</v>
      </c>
      <c r="M23" s="218"/>
      <c r="N23" s="219"/>
      <c r="O23" s="220"/>
    </row>
    <row r="24" spans="1:20" s="178" customFormat="1" ht="18">
      <c r="A24" s="168" t="s">
        <v>160</v>
      </c>
      <c r="B24" s="226">
        <f>IF(B23=0," ",IF(B23&lt;21.25,TRUNC(4.99087*(42.5-B23*2)^1.81)," "))</f>
        <v>306</v>
      </c>
      <c r="C24" s="170">
        <f>IF(C23&gt;210,TRUNC(0.188807*(C23-210)^1.41)," ")</f>
        <v>83</v>
      </c>
      <c r="D24" s="170">
        <f>IF(D23&gt;1.5,TRUNC(56.0211*(D23-1.5)^1.05)," ")</f>
        <v>159</v>
      </c>
      <c r="E24" s="170">
        <v>4</v>
      </c>
      <c r="F24" s="170">
        <f>IF(F23=0," ",IF(F23&lt;105,TRUNC(0.11193*(254-F23*2.4)^1.88)," "))</f>
        <v>88</v>
      </c>
      <c r="G24" s="170">
        <f>IF(G23=0," ",IF(G23&lt;33.7,TRUNC(9.23076*(33.7-G23)^1.835)," "))</f>
        <v>118</v>
      </c>
      <c r="H24" s="172">
        <f>IF(H23&gt;3.7,TRUNC(12.91*(H23*H$98-4)^1.1)," ")</f>
        <v>65</v>
      </c>
      <c r="I24" s="172" t="str">
        <f>IF(I23&gt;75,TRUNC(0.2797*(I23*I$98-100)^1.35)," ")</f>
        <v> </v>
      </c>
      <c r="J24" s="170">
        <f>IF(J23&gt;3.8,TRUNC(15.9803*(J23-3.8)^1.04)," ")</f>
        <v>53</v>
      </c>
      <c r="K24" s="173" t="str">
        <f>IF(K23=0," ",IF(K23&lt;502,TRUNC(0.11193*(254-K23*0.5)^1.88)," "))</f>
        <v> </v>
      </c>
      <c r="L24" s="168"/>
      <c r="M24" s="174">
        <f>SUM(B24:K24)</f>
        <v>876</v>
      </c>
      <c r="N24" s="175">
        <f>MAX(B24:K24)</f>
        <v>306</v>
      </c>
      <c r="O24" s="176"/>
      <c r="P24" s="168"/>
      <c r="Q24" s="168"/>
      <c r="R24" s="168"/>
      <c r="S24" s="168"/>
      <c r="T24" s="168"/>
    </row>
    <row r="25" spans="1:15" s="209" customFormat="1" ht="18">
      <c r="A25" s="205" t="s">
        <v>142</v>
      </c>
      <c r="B25" s="145">
        <v>15.86</v>
      </c>
      <c r="C25" s="147">
        <v>330</v>
      </c>
      <c r="D25" s="147">
        <v>6.99</v>
      </c>
      <c r="E25" s="146">
        <v>110</v>
      </c>
      <c r="F25" s="147">
        <v>84.33</v>
      </c>
      <c r="G25" s="147">
        <v>27.6</v>
      </c>
      <c r="H25" s="147">
        <v>11.79</v>
      </c>
      <c r="I25" s="147"/>
      <c r="J25" s="147">
        <v>10.32</v>
      </c>
      <c r="K25" s="206">
        <v>448</v>
      </c>
      <c r="L25" s="207"/>
      <c r="M25" s="208"/>
      <c r="O25" s="210"/>
    </row>
    <row r="26" spans="1:20" s="178" customFormat="1" ht="18">
      <c r="A26" s="168" t="s">
        <v>143</v>
      </c>
      <c r="B26" s="226">
        <f>IF(B25=0," ",IF(B25&lt;21.25,TRUNC(4.99087*(42.5-B25*2)^1.81)," "))</f>
        <v>369</v>
      </c>
      <c r="C26" s="170">
        <f>IF(C25&gt;210,TRUNC(0.188807*(C25-210)^1.41)," ")</f>
        <v>161</v>
      </c>
      <c r="D26" s="170">
        <f>IF(D25&gt;1.5,TRUNC(56.0211*(D25-1.5)^1.05)," ")</f>
        <v>334</v>
      </c>
      <c r="E26" s="170">
        <f>IF(E25&gt;75,TRUNC(1.84523*(E25-75)^1.348)," ")</f>
        <v>222</v>
      </c>
      <c r="F26" s="170">
        <f>IF(F25=0," ",IF(F25&lt;105,TRUNC(0.11193*(254-F25*2.4)^1.88)," "))</f>
        <v>185</v>
      </c>
      <c r="G26" s="170">
        <f>IF(G25=0," ",IF(G25&lt;33.7,TRUNC(9.23076*(33.7-G25)^1.835)," "))</f>
        <v>254</v>
      </c>
      <c r="H26" s="172">
        <f>IF(H25&gt;3.7,TRUNC(12.91*(H25*H$98-4)^1.1)," ")</f>
        <v>143</v>
      </c>
      <c r="I26" s="172" t="str">
        <f>IF(I25&gt;75,TRUNC(0.2797*(I25*I$98-100)^1.35)," ")</f>
        <v> </v>
      </c>
      <c r="J26" s="170">
        <f>IF(J25&gt;3.8,TRUNC(15.9803*(J25-3.8)^1.04)," ")</f>
        <v>112</v>
      </c>
      <c r="K26" s="173">
        <f>IF(K25=0," ",IF(K25&lt;502,TRUNC(0.11193*(254-K25*0.5)^1.88)," "))</f>
        <v>66</v>
      </c>
      <c r="L26" s="168"/>
      <c r="M26" s="174">
        <f>SUM(B26:K26)</f>
        <v>1846</v>
      </c>
      <c r="N26" s="175">
        <f>MAX(B26:K26)</f>
        <v>369</v>
      </c>
      <c r="O26" s="176"/>
      <c r="P26" s="168"/>
      <c r="Q26" s="168"/>
      <c r="R26" s="168"/>
      <c r="S26" s="168"/>
      <c r="T26" s="168"/>
    </row>
    <row r="27" spans="1:15" s="7" customFormat="1" ht="48.75" customHeight="1">
      <c r="A27" s="118" t="s">
        <v>115</v>
      </c>
      <c r="B27" s="140">
        <v>12.56</v>
      </c>
      <c r="C27" s="141">
        <v>475</v>
      </c>
      <c r="D27" s="142">
        <v>10.06</v>
      </c>
      <c r="E27" s="141">
        <v>150</v>
      </c>
      <c r="F27" s="142">
        <v>66.37</v>
      </c>
      <c r="G27" s="142">
        <v>20.2</v>
      </c>
      <c r="H27" s="142">
        <v>27</v>
      </c>
      <c r="I27" s="141">
        <v>270</v>
      </c>
      <c r="J27" s="142">
        <v>23.7</v>
      </c>
      <c r="K27" s="143">
        <v>350</v>
      </c>
      <c r="L27" s="144"/>
      <c r="M27" s="106"/>
      <c r="N27" s="7" t="s">
        <v>104</v>
      </c>
      <c r="O27" s="155" t="s">
        <v>105</v>
      </c>
    </row>
    <row r="28" spans="1:15" s="184" customFormat="1" ht="24.75" customHeight="1">
      <c r="A28" s="168" t="s">
        <v>63</v>
      </c>
      <c r="B28" s="226">
        <f>IF(B27=0," ",IF(B27&lt;18,TRUNC(25.4347*(18-B27)^1.81)," "))</f>
        <v>545</v>
      </c>
      <c r="C28" s="172">
        <f>IF(C27&gt;220,TRUNC(0.14354*(C27-220)^1.4)," ")</f>
        <v>335</v>
      </c>
      <c r="D28" s="172">
        <f>IF(D27&gt;1.5,TRUNC(51.39*(D27-1.5)^1.05)," ")</f>
        <v>489</v>
      </c>
      <c r="E28" s="172">
        <f>IF(E27&gt;75,TRUNC(0.84565*(E27-75)^1.42)," ")</f>
        <v>388</v>
      </c>
      <c r="F28" s="172">
        <f>IF(F27=0," ",IF(F27&lt;82,TRUNC(1.53775*(82-F27)^1.81)," "))</f>
        <v>222</v>
      </c>
      <c r="G28" s="172">
        <f>IF(G27=0," ",IF(G27&lt;28.5,TRUNC(5.74352*(28.5-G27)^1.92)," "))</f>
        <v>334</v>
      </c>
      <c r="H28" s="172">
        <f>IF(H27&gt;4,TRUNC(12.91*(H27-4)^1.1)," ")</f>
        <v>406</v>
      </c>
      <c r="I28" s="172">
        <f>IF(I27&gt;100,TRUNC(0.2797*(I27-100)^1.35)," ")</f>
        <v>286</v>
      </c>
      <c r="J28" s="172">
        <f>IF(J27&gt;7,TRUNC(10.14*(J27-7)^1.08)," ")</f>
        <v>212</v>
      </c>
      <c r="K28" s="180">
        <f>IF(K27=0," ",IF(K27&lt;480,TRUNC(0.03768*(480-K27)^1.85)," "))</f>
        <v>306</v>
      </c>
      <c r="L28" s="181"/>
      <c r="M28" s="182">
        <f>SUM(B28:K28)</f>
        <v>3523</v>
      </c>
      <c r="N28" s="175">
        <f>MAX(B28:K28)</f>
        <v>545</v>
      </c>
      <c r="O28" s="183">
        <f>MAX(B28:C28,E28:K28)</f>
        <v>545</v>
      </c>
    </row>
    <row r="29" spans="1:15" s="7" customFormat="1" ht="22.5" customHeight="1">
      <c r="A29" s="118" t="s">
        <v>145</v>
      </c>
      <c r="B29" s="140">
        <v>13.12</v>
      </c>
      <c r="C29" s="141">
        <v>508</v>
      </c>
      <c r="D29" s="142">
        <v>9.05</v>
      </c>
      <c r="E29" s="141">
        <v>160</v>
      </c>
      <c r="F29" s="142">
        <v>67.94</v>
      </c>
      <c r="G29" s="142">
        <v>19.6</v>
      </c>
      <c r="H29" s="142">
        <v>23.93</v>
      </c>
      <c r="I29" s="141">
        <v>230</v>
      </c>
      <c r="J29" s="142">
        <v>38.83</v>
      </c>
      <c r="K29" s="143">
        <v>382</v>
      </c>
      <c r="L29" s="144"/>
      <c r="M29" s="106"/>
      <c r="O29" s="155"/>
    </row>
    <row r="30" spans="1:15" s="7" customFormat="1" ht="22.5" customHeight="1">
      <c r="A30" s="118" t="s">
        <v>65</v>
      </c>
      <c r="B30" s="169">
        <f>IF(B29=0," ",IF(B29&lt;18,TRUNC(25.4347*(18-B29)^1.81)," "))</f>
        <v>448</v>
      </c>
      <c r="C30" s="172">
        <f>IF(C29&gt;220,TRUNC(0.14354*(C29-220)^1.4)," ")</f>
        <v>398</v>
      </c>
      <c r="D30" s="172">
        <f>IF(D29&gt;1.5,TRUNC(51.39*(D29-1.5)^1.05)," ")</f>
        <v>429</v>
      </c>
      <c r="E30" s="172">
        <f>IF(E29&gt;75,TRUNC(0.84565*(E29-75)^1.42)," ")</f>
        <v>464</v>
      </c>
      <c r="F30" s="172">
        <f>IF(F29=0," ",IF(F29&lt;82,TRUNC(1.53775*(82-F29)^1.81)," "))</f>
        <v>183</v>
      </c>
      <c r="G30" s="172">
        <f>IF(G29=0," ",IF(G29&lt;28.5,TRUNC(5.74352*(28.5-G29)^1.92)," "))</f>
        <v>381</v>
      </c>
      <c r="H30" s="172">
        <f>IF(H29&gt;4,TRUNC(12.91*(H29-4)^1.1)," ")</f>
        <v>347</v>
      </c>
      <c r="I30" s="172">
        <f>IF(I29&gt;100,TRUNC(0.2797*(I29-100)^1.35)," ")</f>
        <v>199</v>
      </c>
      <c r="J30" s="172">
        <f>IF(J29&gt;7,TRUNC(10.14*(J29-7)^1.08)," ")</f>
        <v>425</v>
      </c>
      <c r="K30" s="180">
        <f>IF(K29=0," ",IF(K29&lt;480,TRUNC(0.03768*(480-K29)^1.85)," "))</f>
        <v>181</v>
      </c>
      <c r="L30" s="181"/>
      <c r="M30" s="182">
        <f>SUM(B30:K30)</f>
        <v>3455</v>
      </c>
      <c r="O30" s="155"/>
    </row>
    <row r="31" spans="1:15" s="184" customFormat="1" ht="18">
      <c r="A31" s="168" t="s">
        <v>165</v>
      </c>
      <c r="B31" s="169">
        <f>IF(B29&lt;18,TRUNC(25.4347*(18-B29*B$94)^1.81)," ")</f>
        <v>471</v>
      </c>
      <c r="C31" s="172">
        <f>TRUNC(0.14354*(C29*C$94-220)^1.4)</f>
        <v>449</v>
      </c>
      <c r="D31" s="172">
        <f>TRUNC(51.39*(D29*D$94-1.5)^1.05)</f>
        <v>429</v>
      </c>
      <c r="E31" s="227">
        <f>TRUNC(0.84565*(E29*E$94-75)^1.42)</f>
        <v>533</v>
      </c>
      <c r="F31" s="172">
        <f>IF(F29=0," ",IF(F29&lt;84,TRUNC(1.53775*(82-F29*F$94)^1.81)," "))</f>
        <v>234</v>
      </c>
      <c r="G31" s="172">
        <f>IF(G29=0," ",IF(G29&lt;28.5,TRUNC(5.74352*(28.5-G29*G$94)^1.92)," "))</f>
        <v>382</v>
      </c>
      <c r="H31" s="172">
        <f>TRUNC(12.91*(H29*H$94-4)^1.1)</f>
        <v>347</v>
      </c>
      <c r="I31" s="172">
        <f>IF(I29&gt;100,TRUNC(0.2797*(I29*I$94-100)^1.35)," ")</f>
        <v>218</v>
      </c>
      <c r="J31" s="172">
        <f>IF(J29&gt;7,TRUNC(10.14*(J29*J$94-7)^1.08)," ")</f>
        <v>450</v>
      </c>
      <c r="K31" s="180">
        <f>IF(K29=0," ",IF(K29&lt;480,TRUNC(0.03768*(480-K29*K$94)^1.85)," "))</f>
        <v>199</v>
      </c>
      <c r="L31" s="181"/>
      <c r="M31" s="182">
        <f>SUM(B31:K31)</f>
        <v>3712</v>
      </c>
      <c r="N31" s="175">
        <f>MAX(B31:K31)</f>
        <v>533</v>
      </c>
      <c r="O31" s="183">
        <f>MAX(B31:C31,E31:K31)</f>
        <v>533</v>
      </c>
    </row>
    <row r="32" spans="1:15" s="7" customFormat="1" ht="21.75" customHeight="1">
      <c r="A32" s="118" t="s">
        <v>117</v>
      </c>
      <c r="B32" s="140">
        <v>13.56</v>
      </c>
      <c r="C32" s="141">
        <v>441</v>
      </c>
      <c r="D32" s="142">
        <v>9.86</v>
      </c>
      <c r="E32" s="141">
        <v>150</v>
      </c>
      <c r="F32" s="142">
        <v>69.81</v>
      </c>
      <c r="G32" s="142">
        <v>23.1</v>
      </c>
      <c r="H32" s="142">
        <v>21</v>
      </c>
      <c r="I32" s="141">
        <v>191</v>
      </c>
      <c r="J32" s="142">
        <v>29.37</v>
      </c>
      <c r="K32" s="143">
        <v>356</v>
      </c>
      <c r="L32" s="144"/>
      <c r="M32" s="106"/>
      <c r="O32" s="155"/>
    </row>
    <row r="33" spans="1:15" s="184" customFormat="1" ht="18">
      <c r="A33" s="168" t="s">
        <v>71</v>
      </c>
      <c r="B33" s="169">
        <f>IF(B32=0," ",IF(B32&lt;18,TRUNC(25.4347*(18-B32)^1.81)," "))</f>
        <v>377</v>
      </c>
      <c r="C33" s="172">
        <f>IF(C32&gt;220,TRUNC(0.14354*(C32-220)^1.4)," ")</f>
        <v>274</v>
      </c>
      <c r="D33" s="227">
        <f>IF(D32&gt;1.5,TRUNC(51.39*(D32-1.5)^1.05)," ")</f>
        <v>477</v>
      </c>
      <c r="E33" s="172">
        <f>IF(E32&gt;75,TRUNC(0.84565*(E32-75)^1.42)," ")</f>
        <v>388</v>
      </c>
      <c r="F33" s="172">
        <f>IF(F32=0," ",IF(F32&lt;82,TRUNC(1.53775*(82-F32)^1.81)," "))</f>
        <v>142</v>
      </c>
      <c r="G33" s="172">
        <f>IF(G32=0," ",IF(G32&lt;28.5,TRUNC(5.74352*(28.5-G32)^1.92)," "))</f>
        <v>146</v>
      </c>
      <c r="H33" s="172">
        <f>IF(H32&gt;4,TRUNC(12.91*(H32-4)^1.1)," ")</f>
        <v>291</v>
      </c>
      <c r="I33" s="172">
        <f>IF(I32&gt;100,TRUNC(0.2797*(I32-100)^1.35)," ")</f>
        <v>123</v>
      </c>
      <c r="J33" s="172">
        <f>IF(J32&gt;7,TRUNC(10.14*(J32-7)^1.08)," ")</f>
        <v>290</v>
      </c>
      <c r="K33" s="180">
        <f>IF(K32=0," ",IF(K32&lt;480,TRUNC(0.03768*(480-K32)^1.85)," "))</f>
        <v>281</v>
      </c>
      <c r="L33" s="181"/>
      <c r="M33" s="182">
        <f>SUM(B33:K33)</f>
        <v>2789</v>
      </c>
      <c r="N33" s="175">
        <f>MAX(B33:K33)</f>
        <v>477</v>
      </c>
      <c r="O33" s="183">
        <f>MAX(B33:C33,E33:K33)</f>
        <v>388</v>
      </c>
    </row>
    <row r="34" spans="1:15" s="7" customFormat="1" ht="20.25" customHeight="1" hidden="1">
      <c r="A34" s="118" t="s">
        <v>118</v>
      </c>
      <c r="B34" s="140"/>
      <c r="C34" s="141"/>
      <c r="D34" s="142"/>
      <c r="E34" s="141"/>
      <c r="F34" s="142"/>
      <c r="G34" s="142"/>
      <c r="H34" s="142"/>
      <c r="I34" s="141"/>
      <c r="J34" s="142"/>
      <c r="K34" s="143"/>
      <c r="L34" s="144"/>
      <c r="M34" s="106"/>
      <c r="O34" s="155"/>
    </row>
    <row r="35" spans="1:15" s="184" customFormat="1" ht="18" hidden="1">
      <c r="A35" s="168" t="s">
        <v>62</v>
      </c>
      <c r="B35" s="169" t="str">
        <f>IF(B34=0," ",IF(B34&lt;18,TRUNC(25.4347*(18-B34)^1.81)," "))</f>
        <v> </v>
      </c>
      <c r="C35" s="172" t="str">
        <f>IF(C34&gt;220,TRUNC(0.14354*(C34-220)^1.4)," ")</f>
        <v> </v>
      </c>
      <c r="D35" s="172" t="str">
        <f>IF(D34&gt;1.5,TRUNC(51.39*(D34-1.5)^1.05)," ")</f>
        <v> </v>
      </c>
      <c r="E35" s="172" t="str">
        <f>IF(E34&gt;75,TRUNC(0.84565*(E34-75)^1.42)," ")</f>
        <v> </v>
      </c>
      <c r="F35" s="172" t="str">
        <f>IF(F34=0," ",IF(F34&lt;82,TRUNC(1.53775*(82-F34)^1.81)," "))</f>
        <v> </v>
      </c>
      <c r="G35" s="179" t="str">
        <f>IF(G34=0," ",IF(G34&lt;28.5,TRUNC(5.74352*(28.5-G34)^1.92)," "))</f>
        <v> </v>
      </c>
      <c r="H35" s="172" t="str">
        <f>IF(H34&gt;4,TRUNC(12.91*(H34-4)^1.1)," ")</f>
        <v> </v>
      </c>
      <c r="I35" s="172" t="str">
        <f>IF(I34&gt;100,TRUNC(0.2797*(I34-100)^1.35)," ")</f>
        <v> </v>
      </c>
      <c r="J35" s="172" t="str">
        <f>IF(J34&gt;7,TRUNC(10.14*(J34-7)^1.08)," ")</f>
        <v> </v>
      </c>
      <c r="K35" s="180" t="str">
        <f>IF(K34=0," ",IF(K34&lt;480,TRUNC(0.03768*(480-K34)^1.85)," "))</f>
        <v> </v>
      </c>
      <c r="L35" s="181"/>
      <c r="M35" s="182">
        <f>SUM(B35:K35)</f>
        <v>0</v>
      </c>
      <c r="N35" s="175">
        <f>MAX(B35:K35)</f>
        <v>0</v>
      </c>
      <c r="O35" s="183">
        <f>MAX(B35:C35,E35:K35)</f>
        <v>0</v>
      </c>
    </row>
    <row r="36" spans="1:15" s="7" customFormat="1" ht="21.75" customHeight="1">
      <c r="A36" s="118" t="s">
        <v>161</v>
      </c>
      <c r="B36" s="140">
        <v>14.56</v>
      </c>
      <c r="C36" s="141">
        <v>376</v>
      </c>
      <c r="D36" s="142">
        <v>5.24</v>
      </c>
      <c r="E36" s="141">
        <v>115</v>
      </c>
      <c r="F36" s="142">
        <v>72.4</v>
      </c>
      <c r="G36" s="142">
        <v>23.7</v>
      </c>
      <c r="H36" s="142">
        <v>11.94</v>
      </c>
      <c r="I36" s="141"/>
      <c r="J36" s="142">
        <v>8.77</v>
      </c>
      <c r="K36" s="143">
        <v>382</v>
      </c>
      <c r="L36" s="144"/>
      <c r="M36" s="106"/>
      <c r="O36" s="155"/>
    </row>
    <row r="37" spans="1:15" s="184" customFormat="1" ht="18">
      <c r="A37" s="168"/>
      <c r="B37" s="177">
        <f>IF(B36=0," ",IF(B36&lt;18,TRUNC(25.4347*(18-B36)^1.81)," "))</f>
        <v>238</v>
      </c>
      <c r="C37" s="172">
        <f>IF(C36&gt;220,TRUNC(0.14354*(C36-220)^1.4)," ")</f>
        <v>168</v>
      </c>
      <c r="D37" s="172">
        <f>IF(D36&gt;1.5,TRUNC(51.39*(D36-1.5)^1.05)," ")</f>
        <v>205</v>
      </c>
      <c r="E37" s="172">
        <f>IF(E36&gt;75,TRUNC(0.84565*(E36-75)^1.42)," ")</f>
        <v>159</v>
      </c>
      <c r="F37" s="172">
        <f>IF(F36=0," ",IF(F36&lt;82,TRUNC(1.53775*(82-F36)^1.81)," "))</f>
        <v>92</v>
      </c>
      <c r="G37" s="172">
        <f>IF(G36=0," ",IF(G36&lt;28.5,TRUNC(5.74352*(28.5-G36)^1.92)," "))</f>
        <v>116</v>
      </c>
      <c r="H37" s="172">
        <f>IF(H36&gt;4,TRUNC(12.91*(H36-4)^1.1)," ")</f>
        <v>126</v>
      </c>
      <c r="I37" s="172" t="str">
        <f>IF(I36&gt;100,TRUNC(0.2797*(I36-100)^1.35)," ")</f>
        <v> </v>
      </c>
      <c r="J37" s="172">
        <f>IF(J36&gt;7,TRUNC(10.14*(J36-7)^1.08)," ")</f>
        <v>18</v>
      </c>
      <c r="K37" s="180">
        <f>IF(K36=0," ",IF(K36&lt;480,TRUNC(0.03768*(480-K36)^1.85)," "))</f>
        <v>181</v>
      </c>
      <c r="L37" s="181"/>
      <c r="M37" s="182">
        <f>SUM(B37:K37)</f>
        <v>1303</v>
      </c>
      <c r="N37" s="175">
        <f>MAX(B37:K37)</f>
        <v>238</v>
      </c>
      <c r="O37" s="183">
        <f>MAX(B37:C37,E37:K37)</f>
        <v>238</v>
      </c>
    </row>
    <row r="38" spans="1:15" s="7" customFormat="1" ht="20.25" customHeight="1">
      <c r="A38" s="118" t="s">
        <v>119</v>
      </c>
      <c r="B38" s="140">
        <v>16.21</v>
      </c>
      <c r="C38" s="141">
        <v>242</v>
      </c>
      <c r="D38" s="142">
        <v>8.18</v>
      </c>
      <c r="E38" s="141">
        <v>100</v>
      </c>
      <c r="F38" s="142"/>
      <c r="G38" s="142"/>
      <c r="H38" s="142">
        <v>21.64</v>
      </c>
      <c r="I38" s="141"/>
      <c r="J38" s="142">
        <v>21.76</v>
      </c>
      <c r="K38" s="143"/>
      <c r="L38" s="144"/>
      <c r="M38" s="106"/>
      <c r="O38" s="155"/>
    </row>
    <row r="39" spans="1:15" s="184" customFormat="1" ht="18">
      <c r="A39" s="168" t="s">
        <v>64</v>
      </c>
      <c r="B39" s="169">
        <f>IF(B38=0," ",IF(B38&lt;18,TRUNC(25.4347*(18-B38)^1.81)," "))</f>
        <v>72</v>
      </c>
      <c r="C39" s="172">
        <f>IF(C38&gt;220,TRUNC(0.14354*(C38-220)^1.4)," ")</f>
        <v>10</v>
      </c>
      <c r="D39" s="227">
        <f>IF(D38&gt;1.5,TRUNC(51.39*(D38-1.5)^1.05)," ")</f>
        <v>377</v>
      </c>
      <c r="E39" s="172">
        <f>IF(E38&gt;75,TRUNC(0.84565*(E38-75)^1.42)," ")</f>
        <v>81</v>
      </c>
      <c r="F39" s="172" t="str">
        <f>IF(F38=0," ",IF(F38&lt;82,TRUNC(1.53775*(82-F38)^1.81)," "))</f>
        <v> </v>
      </c>
      <c r="G39" s="172" t="str">
        <f>IF(G38=0," ",IF(G38&lt;28.5,TRUNC(5.74352*(28.5-G38)^1.92)," "))</f>
        <v> </v>
      </c>
      <c r="H39" s="172">
        <f>IF(H38&gt;4,TRUNC(12.91*(H38-4)^1.1)," ")</f>
        <v>303</v>
      </c>
      <c r="I39" s="172" t="str">
        <f>IF(I38&gt;100,TRUNC(0.2797*(I38-100)^1.35)," ")</f>
        <v> </v>
      </c>
      <c r="J39" s="172">
        <f>IF(J38&gt;7,TRUNC(10.14*(J38-7)^1.08)," ")</f>
        <v>185</v>
      </c>
      <c r="K39" s="180" t="str">
        <f>IF(K38=0," ",IF(K38&lt;480,TRUNC(0.03768*(480-K38)^1.85)," "))</f>
        <v> </v>
      </c>
      <c r="L39" s="181"/>
      <c r="M39" s="182">
        <f>SUM(B39:K39)</f>
        <v>1028</v>
      </c>
      <c r="N39" s="175">
        <f>MAX(B39:K39)</f>
        <v>377</v>
      </c>
      <c r="O39" s="183">
        <f>MAX(B39:C39,E39:K39)</f>
        <v>303</v>
      </c>
    </row>
    <row r="40" spans="1:15" s="7" customFormat="1" ht="23.25" customHeight="1" hidden="1">
      <c r="A40" s="118" t="s">
        <v>120</v>
      </c>
      <c r="B40" s="140"/>
      <c r="C40" s="141"/>
      <c r="D40" s="142"/>
      <c r="E40" s="141"/>
      <c r="F40" s="142"/>
      <c r="G40" s="142"/>
      <c r="H40" s="142"/>
      <c r="I40" s="141"/>
      <c r="J40" s="142"/>
      <c r="K40" s="143"/>
      <c r="L40" s="144"/>
      <c r="M40" s="106"/>
      <c r="O40" s="155"/>
    </row>
    <row r="41" spans="1:15" s="184" customFormat="1" ht="18" hidden="1">
      <c r="A41" s="168" t="s">
        <v>70</v>
      </c>
      <c r="B41" s="169" t="str">
        <f>IF(B40=0," ",IF(B40&lt;18,TRUNC(25.4347*(18-B40)^1.81)," "))</f>
        <v> </v>
      </c>
      <c r="C41" s="179" t="str">
        <f>IF(C40&gt;220,TRUNC(0.14354*(C40-220)^1.4)," ")</f>
        <v> </v>
      </c>
      <c r="D41" s="179" t="str">
        <f>IF(D40&gt;1.5,TRUNC(51.39*(D40-1.5)^1.05)," ")</f>
        <v> </v>
      </c>
      <c r="E41" s="172" t="str">
        <f>IF(E40&gt;75,TRUNC(0.84565*(E40-75)^1.42)," ")</f>
        <v> </v>
      </c>
      <c r="F41" s="172" t="str">
        <f>IF(F40=0," ",IF(F40&lt;82,TRUNC(1.53775*(82-F40)^1.81)," "))</f>
        <v> </v>
      </c>
      <c r="G41" s="172" t="str">
        <f>IF(G40=0," ",IF(G40&lt;28.5,TRUNC(5.74352*(28.5-G40)^1.92)," "))</f>
        <v> </v>
      </c>
      <c r="H41" s="172" t="str">
        <f>IF(H40&gt;4,TRUNC(12.91*(H40-4)^1.1)," ")</f>
        <v> </v>
      </c>
      <c r="I41" s="172" t="str">
        <f>IF(I40&gt;100,TRUNC(0.2797*(I40-100)^1.35)," ")</f>
        <v> </v>
      </c>
      <c r="J41" s="172" t="str">
        <f>IF(J40&gt;7,TRUNC(10.14*(J40-7)^1.08)," ")</f>
        <v> </v>
      </c>
      <c r="K41" s="180" t="str">
        <f>IF(K40=0," ",IF(K40&lt;480,TRUNC(0.03768*(480-K40)^1.85)," "))</f>
        <v> </v>
      </c>
      <c r="L41" s="181"/>
      <c r="M41" s="182">
        <f>SUM(B41:K41)</f>
        <v>0</v>
      </c>
      <c r="N41" s="175">
        <f>MAX(B41:K41)</f>
        <v>0</v>
      </c>
      <c r="O41" s="183">
        <f>MAX(B41:C41,E41:K41)</f>
        <v>0</v>
      </c>
    </row>
    <row r="42" spans="1:15" s="23" customFormat="1" ht="42.75" customHeight="1">
      <c r="A42" s="114" t="s">
        <v>85</v>
      </c>
      <c r="B42" s="22"/>
      <c r="D42" s="102"/>
      <c r="E42" s="102"/>
      <c r="F42" s="102"/>
      <c r="G42" s="102" t="s">
        <v>74</v>
      </c>
      <c r="H42" s="102"/>
      <c r="I42" s="102"/>
      <c r="J42" s="102"/>
      <c r="M42" s="126"/>
      <c r="O42" s="24"/>
    </row>
    <row r="43" spans="1:15" ht="18">
      <c r="A43" s="23"/>
      <c r="B43" s="22"/>
      <c r="C43" s="23"/>
      <c r="D43" s="102" t="s">
        <v>12</v>
      </c>
      <c r="E43" s="102"/>
      <c r="F43" s="102"/>
      <c r="G43" s="102" t="s">
        <v>75</v>
      </c>
      <c r="H43" s="102" t="s">
        <v>15</v>
      </c>
      <c r="I43" s="102"/>
      <c r="J43" s="102" t="s">
        <v>17</v>
      </c>
      <c r="K43" s="23"/>
      <c r="M43" s="127"/>
      <c r="O43" s="24"/>
    </row>
    <row r="44" spans="1:15" ht="18">
      <c r="A44" s="23"/>
      <c r="B44" s="22"/>
      <c r="C44" s="23"/>
      <c r="D44" s="113" t="s">
        <v>13</v>
      </c>
      <c r="E44" s="102"/>
      <c r="F44" s="102"/>
      <c r="G44" s="102" t="s">
        <v>76</v>
      </c>
      <c r="H44" s="102" t="s">
        <v>16</v>
      </c>
      <c r="I44" s="102"/>
      <c r="J44" s="102" t="s">
        <v>18</v>
      </c>
      <c r="K44" s="23"/>
      <c r="M44" s="127"/>
      <c r="O44" s="24"/>
    </row>
    <row r="45" spans="2:15" s="7" customFormat="1" ht="30" customHeight="1">
      <c r="B45" s="151" t="s">
        <v>51</v>
      </c>
      <c r="C45" s="152" t="s">
        <v>77</v>
      </c>
      <c r="D45" s="152" t="s">
        <v>78</v>
      </c>
      <c r="E45" s="152" t="s">
        <v>79</v>
      </c>
      <c r="F45" s="152" t="s">
        <v>6</v>
      </c>
      <c r="G45" s="152" t="s">
        <v>80</v>
      </c>
      <c r="H45" s="152" t="s">
        <v>81</v>
      </c>
      <c r="I45" s="152" t="s">
        <v>83</v>
      </c>
      <c r="J45" s="152" t="s">
        <v>82</v>
      </c>
      <c r="K45" s="153" t="s">
        <v>4</v>
      </c>
      <c r="L45" s="149"/>
      <c r="M45" s="128" t="s">
        <v>84</v>
      </c>
      <c r="N45" s="7" t="s">
        <v>104</v>
      </c>
      <c r="O45" s="155" t="s">
        <v>105</v>
      </c>
    </row>
    <row r="46" spans="1:15" s="7" customFormat="1" ht="28.5" customHeight="1">
      <c r="A46" s="118" t="s">
        <v>121</v>
      </c>
      <c r="B46" s="145">
        <v>14.49</v>
      </c>
      <c r="C46" s="146">
        <v>421</v>
      </c>
      <c r="D46" s="147">
        <v>7.71</v>
      </c>
      <c r="E46" s="146">
        <v>125</v>
      </c>
      <c r="F46" s="147">
        <v>71</v>
      </c>
      <c r="G46" s="147">
        <f>20.7*0.9</f>
        <v>18.63</v>
      </c>
      <c r="H46" s="147">
        <v>22.75</v>
      </c>
      <c r="I46" s="146">
        <v>250</v>
      </c>
      <c r="J46" s="147">
        <v>27.69</v>
      </c>
      <c r="K46" s="147">
        <v>348</v>
      </c>
      <c r="L46" s="148"/>
      <c r="M46" s="124"/>
      <c r="O46" s="155"/>
    </row>
    <row r="47" spans="1:15" s="184" customFormat="1" ht="28.5" customHeight="1">
      <c r="A47" s="168" t="s">
        <v>66</v>
      </c>
      <c r="B47" s="169">
        <f>IF(B46=0," ",IF(B46&lt;20.7,TRUNC(25.4347*(18-B46*B$98)^1.81)," "))</f>
        <v>554</v>
      </c>
      <c r="C47" s="172">
        <f>IF(C46&gt;166,TRUNC(0.14354*(C46*C$98-220)^1.4)," ")</f>
        <v>512</v>
      </c>
      <c r="D47" s="172">
        <f>IF(D46&gt;1.5,TRUNC(51.39*(D46*D$98-1.5)^1.05)," ")</f>
        <v>475</v>
      </c>
      <c r="E47" s="172">
        <f>IF(E46&gt;58,TRUNC(0.84565*(E46*E$98-75)^1.42)," ")</f>
        <v>478</v>
      </c>
      <c r="F47" s="172">
        <f>IF(F46=0," ",IF(F46&lt;96.35,TRUNC(1.53775*(82-F46*F$98)^1.81)," "))</f>
        <v>417</v>
      </c>
      <c r="G47" s="172">
        <f>IF(G46=0," ",IF(G46&lt;31,TRUNC(5.74352*(28.5-G46*G$98)^1.92)," "))</f>
        <v>632</v>
      </c>
      <c r="H47" s="172">
        <f>IF(H46&gt;4,TRUNC(12.91*(H46*H$98-4)^1.1)," ")</f>
        <v>367</v>
      </c>
      <c r="I47" s="172">
        <f>IF(I46&gt;75,TRUNC(0.2797*(I46*I$98-100)^1.35)," ")</f>
        <v>458</v>
      </c>
      <c r="J47" s="172">
        <f>IF(J46&gt;6,TRUNC(10.14*(J46*J$98-7)^1.08)," ")</f>
        <v>427</v>
      </c>
      <c r="K47" s="229">
        <f>IF(K46=0," ",IF(K46&lt;580,TRUNC(0.03768*(480-K46*K$98)^1.85)," "))</f>
        <v>651</v>
      </c>
      <c r="L47" s="187"/>
      <c r="M47" s="188">
        <f>SUM(B47:K47)</f>
        <v>4971</v>
      </c>
      <c r="N47" s="175">
        <f>MAX(B47:K47)</f>
        <v>651</v>
      </c>
      <c r="O47" s="183">
        <f>MAX(B47:C47,E47:K47)</f>
        <v>651</v>
      </c>
    </row>
    <row r="48" spans="1:15" s="7" customFormat="1" ht="28.5" customHeight="1">
      <c r="A48" s="118" t="s">
        <v>122</v>
      </c>
      <c r="B48" s="145">
        <v>14.64</v>
      </c>
      <c r="C48" s="146">
        <v>368</v>
      </c>
      <c r="D48" s="147">
        <v>6.57</v>
      </c>
      <c r="E48" s="146">
        <v>120</v>
      </c>
      <c r="F48" s="147">
        <v>71.94</v>
      </c>
      <c r="G48" s="147">
        <f>21.9*0.9</f>
        <v>19.71</v>
      </c>
      <c r="H48" s="147">
        <v>16.75</v>
      </c>
      <c r="I48" s="146">
        <v>230</v>
      </c>
      <c r="J48" s="147">
        <v>22.14</v>
      </c>
      <c r="K48" s="147">
        <v>354</v>
      </c>
      <c r="L48" s="148"/>
      <c r="M48" s="124"/>
      <c r="O48" s="155"/>
    </row>
    <row r="49" spans="1:15" s="184" customFormat="1" ht="28.5" customHeight="1">
      <c r="A49" s="168" t="s">
        <v>166</v>
      </c>
      <c r="B49" s="169">
        <f>IF(B48=0," ",IF(B48&lt;20.7,TRUNC(25.4347*(18-B48*B$98)^1.81)," "))</f>
        <v>531</v>
      </c>
      <c r="C49" s="172">
        <f>IF(C48&gt;166,TRUNC(0.14354*(C48*C$98-220)^1.4)," ")</f>
        <v>370</v>
      </c>
      <c r="D49" s="172">
        <f>IF(D48&gt;1.5,TRUNC(51.39*(D48*D$98-1.5)^1.05)," ")</f>
        <v>388</v>
      </c>
      <c r="E49" s="172">
        <f>IF(E48&gt;58,TRUNC(0.84565*(E48*E$98-75)^1.42)," ")</f>
        <v>428</v>
      </c>
      <c r="F49" s="172">
        <f>IF(F48=0," ",IF(F48&lt;96.35,TRUNC(1.53775*(82-F48*F$98)^1.81)," "))</f>
        <v>391</v>
      </c>
      <c r="G49" s="172">
        <f>IF(G48=0," ",IF(G48&lt;31,TRUNC(5.74352*(28.5-G48*G$98)^1.92)," "))</f>
        <v>533</v>
      </c>
      <c r="H49" s="172">
        <f>IF(H48&gt;4,TRUNC(12.91*(H48*H$98-4)^1.1)," ")</f>
        <v>242</v>
      </c>
      <c r="I49" s="172">
        <f>IF(I48&gt;75,TRUNC(0.2797*(I48*I$98-100)^1.35)," ")</f>
        <v>390</v>
      </c>
      <c r="J49" s="172">
        <f>IF(J48&gt;6,TRUNC(10.14*(J48*J$98-7)^1.08)," ")</f>
        <v>315</v>
      </c>
      <c r="K49" s="230">
        <f>IF(K48=0," ",IF(K48&lt;580,TRUNC(0.03768*(480-K48*K$98)^1.85)," "))</f>
        <v>621</v>
      </c>
      <c r="L49" s="187"/>
      <c r="M49" s="188">
        <f>SUM(B49:K49)</f>
        <v>4209</v>
      </c>
      <c r="N49" s="175">
        <f>MAX(B49:K49)</f>
        <v>621</v>
      </c>
      <c r="O49" s="189">
        <f>MAX(B49:C49,E49:K49)</f>
        <v>621</v>
      </c>
    </row>
    <row r="50" spans="1:15" s="7" customFormat="1" ht="28.5" customHeight="1">
      <c r="A50" s="118" t="s">
        <v>154</v>
      </c>
      <c r="B50" s="145">
        <v>14.68</v>
      </c>
      <c r="C50" s="146">
        <v>378</v>
      </c>
      <c r="D50" s="147">
        <v>7.53</v>
      </c>
      <c r="E50" s="146">
        <v>115</v>
      </c>
      <c r="F50" s="147">
        <v>80.5</v>
      </c>
      <c r="G50" s="147">
        <f>24.3*0.9</f>
        <v>21.87</v>
      </c>
      <c r="H50" s="147">
        <v>19.22</v>
      </c>
      <c r="I50" s="146">
        <v>200</v>
      </c>
      <c r="J50" s="147">
        <v>20.87</v>
      </c>
      <c r="K50" s="147">
        <v>396</v>
      </c>
      <c r="L50" s="148"/>
      <c r="M50" s="124"/>
      <c r="O50" s="155"/>
    </row>
    <row r="51" spans="1:15" s="184" customFormat="1" ht="28.5" customHeight="1">
      <c r="A51" s="168" t="s">
        <v>123</v>
      </c>
      <c r="B51" s="226">
        <f>IF(B50=0," ",IF(B50&lt;20.7,TRUNC(25.4347*(18-B50*B$98)^1.81)," "))</f>
        <v>525</v>
      </c>
      <c r="C51" s="172">
        <f>IF(C50&gt;166,TRUNC(0.14354*(C50*C$98-220)^1.4)," ")</f>
        <v>396</v>
      </c>
      <c r="D51" s="172">
        <f>IF(D50&gt;1.5,TRUNC(51.39*(D50*D$98-1.5)^1.05)," ")</f>
        <v>461</v>
      </c>
      <c r="E51" s="172">
        <f>IF(E50&gt;58,TRUNC(0.84565*(E50*E$98-75)^1.42)," ")</f>
        <v>380</v>
      </c>
      <c r="F51" s="172">
        <f>IF(F50=0," ",IF(F50&lt;96.35,TRUNC(1.53775*(82-F50*F$98)^1.81)," "))</f>
        <v>185</v>
      </c>
      <c r="G51" s="172">
        <f>IF(G50=0," ",IF(G50&lt;31,TRUNC(5.74352*(28.5-G50*G$98)^1.92)," "))</f>
        <v>360</v>
      </c>
      <c r="H51" s="172">
        <f>IF(H50&gt;4,TRUNC(12.91*(H50*H$98-4)^1.1)," ")</f>
        <v>293</v>
      </c>
      <c r="I51" s="172">
        <f>IF(I50&gt;75,TRUNC(0.2797*(I50*I$98-100)^1.35)," ")</f>
        <v>292</v>
      </c>
      <c r="J51" s="172">
        <f>IF(J50&gt;6,TRUNC(10.14*(J50*J$98-7)^1.08)," ")</f>
        <v>290</v>
      </c>
      <c r="K51" s="186">
        <f>IF(K50=0," ",IF(K50&lt;580,TRUNC(0.03768*(480-K50*K$98)^1.85)," "))</f>
        <v>430</v>
      </c>
      <c r="L51" s="187"/>
      <c r="M51" s="188">
        <f>SUM(B51:K51)</f>
        <v>3612</v>
      </c>
      <c r="N51" s="175">
        <f>MAX(B51:K51)</f>
        <v>525</v>
      </c>
      <c r="O51" s="183">
        <f>MAX(B51:C51,E51:K51)</f>
        <v>525</v>
      </c>
    </row>
    <row r="52" spans="1:15" s="7" customFormat="1" ht="28.5" customHeight="1">
      <c r="A52" s="118" t="s">
        <v>124</v>
      </c>
      <c r="B52" s="140">
        <v>15.58</v>
      </c>
      <c r="C52" s="141">
        <v>395</v>
      </c>
      <c r="D52" s="142">
        <v>9.15</v>
      </c>
      <c r="E52" s="141">
        <v>120</v>
      </c>
      <c r="F52" s="142">
        <v>77.26</v>
      </c>
      <c r="G52" s="142">
        <f>26.92*0.9</f>
        <v>24.228</v>
      </c>
      <c r="H52" s="142">
        <v>25.46</v>
      </c>
      <c r="I52" s="141">
        <v>191</v>
      </c>
      <c r="J52" s="142">
        <v>28.5</v>
      </c>
      <c r="K52" s="142">
        <v>376</v>
      </c>
      <c r="L52" s="149"/>
      <c r="M52" s="129"/>
      <c r="O52" s="155"/>
    </row>
    <row r="53" spans="1:15" s="184" customFormat="1" ht="28.5" customHeight="1">
      <c r="A53" s="168" t="s">
        <v>69</v>
      </c>
      <c r="B53" s="169">
        <f>TRUNC(25.4347*(18-B52*B$96)^1.81)</f>
        <v>263</v>
      </c>
      <c r="C53" s="172">
        <f>TRUNC(0.14354*(C52*C$96-220)^1.4)</f>
        <v>318</v>
      </c>
      <c r="D53" s="227">
        <f>TRUNC(51.39*(D52*D$96-1.5)^1.05)</f>
        <v>497</v>
      </c>
      <c r="E53" s="172">
        <f>TRUNC(0.84565*(E52*E$96-75)^1.42)</f>
        <v>313</v>
      </c>
      <c r="F53" s="172">
        <f>TRUNC(1.53775*(82-F52*F$96)^1.81)</f>
        <v>144</v>
      </c>
      <c r="G53" s="172">
        <f>TRUNC(5.74352*(28.5-G52*G$96)^1.92)</f>
        <v>196</v>
      </c>
      <c r="H53" s="172">
        <f>TRUNC(12.91*(H52*H$96-4)^1.1)</f>
        <v>401</v>
      </c>
      <c r="I53" s="172">
        <f>TRUNC(0.2797*(I52*I$96-100)^1.35)</f>
        <v>189</v>
      </c>
      <c r="J53" s="172">
        <f>IF(J52&gt;7,TRUNC(10.14*(J52*J$96-7)^1.08)," ")</f>
        <v>370</v>
      </c>
      <c r="K53" s="172">
        <f>TRUNC(0.03768*(480-K52*K$96)^1.85)</f>
        <v>368</v>
      </c>
      <c r="L53" s="190"/>
      <c r="M53" s="188">
        <f>SUM(B53:K53)</f>
        <v>3059</v>
      </c>
      <c r="N53" s="175">
        <f>MAX(B53:K53)</f>
        <v>497</v>
      </c>
      <c r="O53" s="183">
        <f>MAX(B53:C53,E53:K53)</f>
        <v>401</v>
      </c>
    </row>
    <row r="54" spans="1:15" s="7" customFormat="1" ht="28.5" customHeight="1">
      <c r="A54" s="118" t="s">
        <v>125</v>
      </c>
      <c r="B54" s="140">
        <v>13.66</v>
      </c>
      <c r="C54" s="141">
        <v>353</v>
      </c>
      <c r="D54" s="142">
        <v>9.38</v>
      </c>
      <c r="E54" s="141">
        <v>125</v>
      </c>
      <c r="F54" s="142">
        <v>74.94</v>
      </c>
      <c r="G54" s="142">
        <f>24.73*0.9</f>
        <v>22.257</v>
      </c>
      <c r="H54" s="142">
        <v>16.39</v>
      </c>
      <c r="I54" s="141"/>
      <c r="J54" s="225">
        <v>22.7</v>
      </c>
      <c r="K54" s="142"/>
      <c r="L54" s="149"/>
      <c r="M54" s="124"/>
      <c r="O54" s="155"/>
    </row>
    <row r="55" spans="1:15" s="184" customFormat="1" ht="28.5" customHeight="1">
      <c r="A55" s="168" t="s">
        <v>114</v>
      </c>
      <c r="B55" s="226">
        <f>TRUNC(25.4347*(18-B54*B$95)^1.81)</f>
        <v>461</v>
      </c>
      <c r="C55" s="172">
        <f>TRUNC(0.14354*(C54*C$95-220)^1.4)</f>
        <v>193</v>
      </c>
      <c r="D55" s="172">
        <f>TRUNC(51.39*(D54*D$95-1.5)^1.05)</f>
        <v>464</v>
      </c>
      <c r="E55" s="172">
        <f>TRUNC(0.84565*(E54*E$95-75)^1.42)</f>
        <v>305</v>
      </c>
      <c r="F55" s="172">
        <f>TRUNC(1.53775*(82-F54*F$95)^1.81)</f>
        <v>136</v>
      </c>
      <c r="G55" s="172">
        <f>IF(G54=0," ",TRUNC(5.74352*(28.5-G54*G$95)^1.92))</f>
        <v>255</v>
      </c>
      <c r="H55" s="172">
        <f>IF(H54&gt;4,TRUNC(12.91*(H54*H$95-4)^1.1)," ")</f>
        <v>205</v>
      </c>
      <c r="I55" s="172" t="str">
        <f>IF(I54&gt;75,TRUNC(0.2797*(I54*I$98-100)^1.35)," ")</f>
        <v> </v>
      </c>
      <c r="J55" s="191">
        <f>IF(J54&gt;6,TRUNC(10.14*(J54*J$95-7)^1.08)," ")</f>
        <v>238</v>
      </c>
      <c r="K55" s="172" t="str">
        <f>IF(K54=0," ",TRUNC(0.03768*(480-K54*K$95)^1.85))</f>
        <v> </v>
      </c>
      <c r="L55" s="190"/>
      <c r="M55" s="188">
        <f>SUM(B55:K55)</f>
        <v>2257</v>
      </c>
      <c r="N55" s="175">
        <f>MAX(B55:K55)</f>
        <v>464</v>
      </c>
      <c r="O55" s="183">
        <f>MAX(B55:C55,E55:K55)</f>
        <v>461</v>
      </c>
    </row>
    <row r="56" spans="1:15" s="7" customFormat="1" ht="28.5" customHeight="1">
      <c r="A56" s="118" t="s">
        <v>127</v>
      </c>
      <c r="B56" s="145">
        <v>19.74</v>
      </c>
      <c r="C56" s="146">
        <v>289</v>
      </c>
      <c r="D56" s="147">
        <v>6.28</v>
      </c>
      <c r="E56" s="146">
        <v>125</v>
      </c>
      <c r="F56" s="147">
        <v>110.32</v>
      </c>
      <c r="G56" s="147"/>
      <c r="H56" s="147">
        <v>13.82</v>
      </c>
      <c r="I56" s="146">
        <v>230</v>
      </c>
      <c r="J56" s="147">
        <v>18.1</v>
      </c>
      <c r="K56" s="147"/>
      <c r="L56" s="148"/>
      <c r="M56" s="124"/>
      <c r="O56" s="155"/>
    </row>
    <row r="57" spans="1:15" s="184" customFormat="1" ht="28.5" customHeight="1">
      <c r="A57" s="168" t="s">
        <v>167</v>
      </c>
      <c r="B57" s="169">
        <f>IF(B56=0," ",IF(B56&lt;20.7,TRUNC(25.4347*(18-B56*B$98)^1.81)," "))</f>
        <v>23</v>
      </c>
      <c r="C57" s="172">
        <f>IF(C56&gt;166,TRUNC(0.14354*(C56*C$98-220)^1.4)," ")</f>
        <v>186</v>
      </c>
      <c r="D57" s="172">
        <f>IF(D56&gt;1.5,TRUNC(51.39*(D56*D$98-1.5)^1.05)," ")</f>
        <v>366</v>
      </c>
      <c r="E57" s="179">
        <f>IF(E56&gt;58,TRUNC(0.84565*(E56*E$98-75)^1.42)," ")</f>
        <v>478</v>
      </c>
      <c r="F57" s="172" t="str">
        <f>IF(F56=0," ",IF(F56&lt;96.35,TRUNC(1.53775*(82-F56*F$98)^1.81)," "))</f>
        <v> </v>
      </c>
      <c r="G57" s="172" t="str">
        <f>IF(G56=0," ",IF(G56&lt;31,TRUNC(5.74352*(28.5-G56*G$98)^1.92)," "))</f>
        <v> </v>
      </c>
      <c r="H57" s="172">
        <f>IF(H56&gt;4,TRUNC(12.91*(H56*H$98-4)^1.1)," ")</f>
        <v>183</v>
      </c>
      <c r="I57" s="172">
        <f>IF(I56&gt;75,TRUNC(0.2797*(I56*I$98-100)^1.35)," ")</f>
        <v>390</v>
      </c>
      <c r="J57" s="172">
        <f>IF(J56&gt;6,TRUNC(10.14*(J56*J$98-7)^1.08)," ")</f>
        <v>236</v>
      </c>
      <c r="K57" s="186" t="str">
        <f>IF(K56=0," ",IF(K56&lt;580,TRUNC(0.03768*(480-K56*K$98)^1.85)," "))</f>
        <v> </v>
      </c>
      <c r="L57" s="187"/>
      <c r="M57" s="188">
        <f>SUM(B57:K57)</f>
        <v>1862</v>
      </c>
      <c r="N57" s="175">
        <f>MAX(B57:K57)</f>
        <v>478</v>
      </c>
      <c r="O57" s="183">
        <f>MAX(B57:C57,E57:K57)</f>
        <v>478</v>
      </c>
    </row>
    <row r="58" spans="1:15" s="7" customFormat="1" ht="28.5" customHeight="1">
      <c r="A58" s="118" t="s">
        <v>126</v>
      </c>
      <c r="B58" s="145"/>
      <c r="C58" s="146"/>
      <c r="D58" s="147">
        <v>8.45</v>
      </c>
      <c r="E58" s="146"/>
      <c r="F58" s="147"/>
      <c r="G58" s="147"/>
      <c r="H58" s="147">
        <v>21.82</v>
      </c>
      <c r="I58" s="146"/>
      <c r="J58" s="147">
        <v>25.93</v>
      </c>
      <c r="K58" s="147"/>
      <c r="L58" s="148"/>
      <c r="M58" s="124"/>
      <c r="O58" s="155"/>
    </row>
    <row r="59" spans="1:15" s="184" customFormat="1" ht="28.5" customHeight="1">
      <c r="A59" s="168" t="s">
        <v>68</v>
      </c>
      <c r="B59" s="169" t="str">
        <f>IF(B58=0," ",IF(B58&lt;20.7,TRUNC(25.4347*(18-B58*B$98)^1.81)," "))</f>
        <v> </v>
      </c>
      <c r="C59" s="172" t="str">
        <f>IF(C58&gt;166,TRUNC(0.14354*(C58*C$98-220)^1.4)," ")</f>
        <v> </v>
      </c>
      <c r="D59" s="227">
        <f>IF(D58&gt;1.5,TRUNC(51.39*(D58*D$98-1.5)^1.05)," ")</f>
        <v>532</v>
      </c>
      <c r="E59" s="172" t="str">
        <f>IF(E58&gt;58,TRUNC(0.84565*(E58*E$98-75)^1.42)," ")</f>
        <v> </v>
      </c>
      <c r="F59" s="172" t="str">
        <f>IF(F58=0," ",IF(F58&lt;96.35,TRUNC(1.53775*(82-F58*F$98)^1.81)," "))</f>
        <v> </v>
      </c>
      <c r="G59" s="172" t="str">
        <f>IF(G58=0," ",IF(G58&lt;31,TRUNC(5.74352*(28.5-G58*G$98)^1.92)," "))</f>
        <v> </v>
      </c>
      <c r="H59" s="172">
        <f>IF(H58&gt;4,TRUNC(12.91*(H58*H$98-4)^1.1)," ")</f>
        <v>347</v>
      </c>
      <c r="I59" s="172"/>
      <c r="J59" s="172">
        <f>IF(J58&gt;6,TRUNC(10.14*(J58*J$98-7)^1.08)," ")</f>
        <v>391</v>
      </c>
      <c r="K59" s="186" t="str">
        <f>IF(K58=0," ",IF(K58&lt;580,TRUNC(0.03768*(480-K58*K$98)^1.85)," "))</f>
        <v> </v>
      </c>
      <c r="L59" s="187"/>
      <c r="M59" s="188">
        <f>SUM(B59:K59)</f>
        <v>1270</v>
      </c>
      <c r="N59" s="175">
        <f>MAX(B59:K59)</f>
        <v>532</v>
      </c>
      <c r="O59" s="183">
        <f>MAX(B59:C59,E59:K59)</f>
        <v>391</v>
      </c>
    </row>
    <row r="60" spans="1:15" s="7" customFormat="1" ht="28.5" customHeight="1">
      <c r="A60" s="118" t="s">
        <v>131</v>
      </c>
      <c r="B60" s="140">
        <v>19.12</v>
      </c>
      <c r="C60" s="141">
        <v>321</v>
      </c>
      <c r="D60" s="142">
        <v>7.5</v>
      </c>
      <c r="E60" s="141">
        <v>115</v>
      </c>
      <c r="F60" s="142">
        <v>83.55</v>
      </c>
      <c r="G60" s="142"/>
      <c r="H60" s="142">
        <v>14.72</v>
      </c>
      <c r="I60" s="141"/>
      <c r="J60" s="225">
        <v>27.52</v>
      </c>
      <c r="K60" s="142">
        <v>398</v>
      </c>
      <c r="L60" s="149"/>
      <c r="M60" s="123"/>
      <c r="O60" s="155"/>
    </row>
    <row r="61" spans="1:15" s="184" customFormat="1" ht="28.5" customHeight="1">
      <c r="A61" s="168" t="s">
        <v>59</v>
      </c>
      <c r="B61" s="169" t="str">
        <f>IF(B60&lt;18,TRUNC(25.4347*(18-B60*B$94)^1.81)," ")</f>
        <v> </v>
      </c>
      <c r="C61" s="172">
        <f>TRUNC(0.14354*(C60*C$94-220)^1.4)</f>
        <v>113</v>
      </c>
      <c r="D61" s="179">
        <f>TRUNC(51.39*(D60*D$94-1.5)^1.05)</f>
        <v>337</v>
      </c>
      <c r="E61" s="172">
        <f>TRUNC(0.84565*(E60*E$94-75)^1.42)</f>
        <v>195</v>
      </c>
      <c r="F61" s="172">
        <f>IF(F60=0," ",IF(F60&lt;84,TRUNC(1.53775*(82-F60*F$94)^1.81)," "))</f>
        <v>1</v>
      </c>
      <c r="G61" s="172" t="str">
        <f>IF(G60=0," ",IF(G60&lt;28.5,TRUNC(5.74352*(28.5-G60*G$94)^G60)," "))</f>
        <v> </v>
      </c>
      <c r="H61" s="172">
        <f>TRUNC(12.91*(H60*H$94-4)^1.1)</f>
        <v>175</v>
      </c>
      <c r="I61" s="172" t="str">
        <f>IF(I60&gt;75,TRUNC(0.2797*(I60*I$98-100)^1.35)," ")</f>
        <v> </v>
      </c>
      <c r="J61" s="191">
        <f>TRUNC(10.14*(J60*J$94-7)^1.08)</f>
        <v>281</v>
      </c>
      <c r="K61" s="172">
        <f>TRUNC(0.03768*(480-K60*K$94)^1.85)</f>
        <v>146</v>
      </c>
      <c r="L61" s="190"/>
      <c r="M61" s="188">
        <f>SUM(B61:K61)</f>
        <v>1248</v>
      </c>
      <c r="N61" s="175">
        <f>MAX(B61:K61)</f>
        <v>337</v>
      </c>
      <c r="O61" s="183">
        <f>MAX(B61:C61,E61:K61)</f>
        <v>281</v>
      </c>
    </row>
    <row r="62" spans="1:13" s="23" customFormat="1" ht="28.5" customHeight="1">
      <c r="A62" s="118" t="s">
        <v>138</v>
      </c>
      <c r="B62" s="140">
        <v>14.03</v>
      </c>
      <c r="C62" s="141">
        <v>410</v>
      </c>
      <c r="D62" s="142">
        <v>6.85</v>
      </c>
      <c r="E62" s="141"/>
      <c r="F62" s="142"/>
      <c r="G62" s="142"/>
      <c r="H62" s="142"/>
      <c r="I62" s="141"/>
      <c r="J62" s="142"/>
      <c r="K62" s="142"/>
      <c r="L62" s="149"/>
      <c r="M62" s="129"/>
    </row>
    <row r="63" spans="1:15" s="196" customFormat="1" ht="28.5" customHeight="1">
      <c r="A63" s="168" t="s">
        <v>139</v>
      </c>
      <c r="B63" s="226">
        <f>TRUNC(25.4347*(18-B62*B$96)^1.81)</f>
        <v>479</v>
      </c>
      <c r="C63" s="172">
        <f>TRUNC(0.14354*(C62*C$96-220)^1.4)</f>
        <v>351</v>
      </c>
      <c r="D63" s="172">
        <f>TRUNC(51.39*(D62*D$96-1.5)^1.05)</f>
        <v>344</v>
      </c>
      <c r="E63" s="172" t="str">
        <f>IF(E62&gt;58,TRUNC(0.84565*(E62*E$96-75)^1.42)," ")</f>
        <v> </v>
      </c>
      <c r="F63" s="172"/>
      <c r="G63" s="172" t="str">
        <f>IF(G62=0," ",TRUNC(5.74352*(28.5-G62*G$95)^1.92))</f>
        <v> </v>
      </c>
      <c r="H63" s="172" t="str">
        <f>IF(H62&gt;4,TRUNC(12.91*(H62*H$95-4)^1.1)," ")</f>
        <v> </v>
      </c>
      <c r="I63" s="172" t="str">
        <f>IF(I62&gt;75,TRUNC(0.2797*(I62*I$98-100)^1.35)," ")</f>
        <v> </v>
      </c>
      <c r="J63" s="191" t="str">
        <f>IF(J62&gt;6,TRUNC(10.14*(J62*J$95-7)^1.08)," ")</f>
        <v> </v>
      </c>
      <c r="K63" s="172" t="str">
        <f>IF(K62=0," ",TRUNC(0.03768*(480-K62*K$95)^1.85))</f>
        <v> </v>
      </c>
      <c r="L63" s="190"/>
      <c r="M63" s="188">
        <f>SUM(B63:K63)</f>
        <v>1174</v>
      </c>
      <c r="N63" s="175">
        <f>MAX(B63:K63)</f>
        <v>479</v>
      </c>
      <c r="O63" s="183">
        <f>MAX(B63:C63,E63:K63)</f>
        <v>479</v>
      </c>
    </row>
    <row r="64" spans="1:15" s="7" customFormat="1" ht="28.5" customHeight="1">
      <c r="A64" s="118" t="s">
        <v>130</v>
      </c>
      <c r="B64" s="145">
        <v>18.53</v>
      </c>
      <c r="C64" s="146">
        <v>263</v>
      </c>
      <c r="D64" s="147">
        <v>6.45</v>
      </c>
      <c r="E64" s="146">
        <v>100</v>
      </c>
      <c r="F64" s="147">
        <v>103.51</v>
      </c>
      <c r="G64" s="147"/>
      <c r="H64" s="147">
        <v>12.04</v>
      </c>
      <c r="I64" s="146"/>
      <c r="J64" s="147">
        <v>12.86</v>
      </c>
      <c r="K64" s="147"/>
      <c r="L64" s="148"/>
      <c r="M64" s="124"/>
      <c r="O64" s="155"/>
    </row>
    <row r="65" spans="1:15" s="184" customFormat="1" ht="28.5" customHeight="1">
      <c r="A65" s="168" t="s">
        <v>61</v>
      </c>
      <c r="B65" s="169">
        <f>IF(B64=0," ",IF(B64&lt;20.7,TRUNC(25.4347*(18-B64*B$98)^1.81)," "))</f>
        <v>89</v>
      </c>
      <c r="C65" s="172">
        <f>IF(C64&gt;166,TRUNC(0.14354*(C64*C$98-220)^1.4)," ")</f>
        <v>134</v>
      </c>
      <c r="D65" s="227">
        <f>IF(D64&gt;1.5,TRUNC(51.39*(D64*D$98-1.5)^1.05)," ")</f>
        <v>379</v>
      </c>
      <c r="E65" s="172">
        <f>IF(E64&gt;58,TRUNC(0.84565*(E64*E$98-75)^1.42)," ")</f>
        <v>246</v>
      </c>
      <c r="F65" s="172" t="str">
        <f>IF(F64=0," ",IF(F64&lt;96,TRUNC(1.53775*(82-F64*F$98)^1.81)," "))</f>
        <v> </v>
      </c>
      <c r="G65" s="172" t="str">
        <f>IF(G64=0," ",IF(G64&lt;31,TRUNC(5.74352*(28.5-G64*G$98)^1.92)," "))</f>
        <v> </v>
      </c>
      <c r="H65" s="172">
        <f>IF(H64&gt;4,TRUNC(12.91*(H64*H$98-4)^1.1)," ")</f>
        <v>148</v>
      </c>
      <c r="I65" s="172" t="str">
        <f>IF(I64&gt;75,TRUNC(0.2797*(I64*I$98-100)^1.35)," ")</f>
        <v> </v>
      </c>
      <c r="J65" s="172">
        <f>IF(J64&gt;6,TRUNC(10.14*(J64*J$98-7)^1.08)," ")</f>
        <v>136</v>
      </c>
      <c r="K65" s="186" t="str">
        <f>IF(K64=0," ",IF(K64&lt;580,TRUNC(0.03768*(480-K64*K$98)^1.85)," "))</f>
        <v> </v>
      </c>
      <c r="L65" s="187"/>
      <c r="M65" s="188">
        <f>SUM(B65:K65)</f>
        <v>1132</v>
      </c>
      <c r="N65" s="175">
        <f>MAX(B65:K65)</f>
        <v>379</v>
      </c>
      <c r="O65" s="183">
        <f>MAX(B65:C65,E65:K65)</f>
        <v>246</v>
      </c>
    </row>
    <row r="66" spans="1:15" s="7" customFormat="1" ht="28.5" customHeight="1">
      <c r="A66" s="118" t="s">
        <v>132</v>
      </c>
      <c r="B66" s="145"/>
      <c r="C66" s="146"/>
      <c r="D66" s="147">
        <v>6.47</v>
      </c>
      <c r="E66" s="146"/>
      <c r="F66" s="147"/>
      <c r="G66" s="147"/>
      <c r="H66" s="147">
        <v>18.48</v>
      </c>
      <c r="I66" s="146"/>
      <c r="J66" s="147">
        <v>15.6</v>
      </c>
      <c r="K66" s="147"/>
      <c r="L66" s="150"/>
      <c r="M66" s="124"/>
      <c r="O66" s="155"/>
    </row>
    <row r="67" spans="1:15" s="184" customFormat="1" ht="28.5" customHeight="1">
      <c r="A67" s="168" t="s">
        <v>58</v>
      </c>
      <c r="B67" s="192" t="str">
        <f>IF(B66=0," ",IF(B66&lt;20.7,TRUNC(25.4347*(18-B66*B$98)^1.81)," "))</f>
        <v> </v>
      </c>
      <c r="C67" s="193" t="str">
        <f>IF(C66&gt;166,TRUNC(0.14354*(C66*C$98-220)^1.4)," ")</f>
        <v> </v>
      </c>
      <c r="D67" s="227">
        <f>IF(D66&gt;1.5,TRUNC(51.39*(D66*D$98-1.5)^1.05)," ")</f>
        <v>381</v>
      </c>
      <c r="E67" s="172" t="str">
        <f>IF(E66&gt;58,TRUNC(0.84565*(E66*E$98-75)^1.42)," ")</f>
        <v> </v>
      </c>
      <c r="F67" s="172" t="str">
        <f>IF(F66=0," ",IF(F66&lt;96.35,TRUNC(1.53775*(82-F66*F$98)^1.81)," "))</f>
        <v> </v>
      </c>
      <c r="G67" s="172" t="str">
        <f>IF(G66=0," ",IF(G66&lt;31,TRUNC(5.74352*(28.5-G66*G$98)^1.92)," "))</f>
        <v> </v>
      </c>
      <c r="H67" s="172">
        <f>IF(H66&gt;4,TRUNC(12.91*(H66*H$98-4)^1.1)," ")</f>
        <v>278</v>
      </c>
      <c r="I67" s="172" t="str">
        <f>IF(I66&gt;75,TRUNC(0.2797*(I66*I$98-100)^1.35)," ")</f>
        <v> </v>
      </c>
      <c r="J67" s="172">
        <f>IF(J66&gt;6,TRUNC(10.14*(J66*J$98-7)^1.08)," ")</f>
        <v>187</v>
      </c>
      <c r="K67" s="194" t="str">
        <f>IF(K66=0," ",IF(K66&lt;580,TRUNC(0.03768*(480-K66*K$98)^1.85)," "))</f>
        <v> </v>
      </c>
      <c r="L67" s="190"/>
      <c r="M67" s="188">
        <f>SUM(B67:K67)</f>
        <v>846</v>
      </c>
      <c r="N67" s="175">
        <f>MAX(B67:K67)</f>
        <v>381</v>
      </c>
      <c r="O67" s="183">
        <f>MAX(B67:C67,E67:K67)</f>
        <v>278</v>
      </c>
    </row>
    <row r="68" spans="1:15" s="7" customFormat="1" ht="28.5" customHeight="1">
      <c r="A68" s="118" t="s">
        <v>128</v>
      </c>
      <c r="B68" s="145"/>
      <c r="C68" s="146"/>
      <c r="D68" s="147">
        <v>6.52</v>
      </c>
      <c r="E68" s="146"/>
      <c r="F68" s="147"/>
      <c r="G68" s="147"/>
      <c r="H68" s="147">
        <v>15.94</v>
      </c>
      <c r="I68" s="146"/>
      <c r="J68" s="147">
        <v>17.48</v>
      </c>
      <c r="K68" s="147"/>
      <c r="L68" s="148"/>
      <c r="M68" s="124"/>
      <c r="O68" s="155"/>
    </row>
    <row r="69" spans="1:15" s="184" customFormat="1" ht="28.5" customHeight="1">
      <c r="A69" s="168" t="s">
        <v>60</v>
      </c>
      <c r="B69" s="169" t="str">
        <f>IF(B68=0," ",IF(B68&lt;20.7,TRUNC(25.4347*(18-B68*B$98)^1.81)," "))</f>
        <v> </v>
      </c>
      <c r="C69" s="172" t="str">
        <f>IF(C68&gt;166,TRUNC(0.14354*(C68*C$98-220)^1.4)," ")</f>
        <v> </v>
      </c>
      <c r="D69" s="227">
        <f>IF(D68&gt;1.5,TRUNC(51.39*(D68*D$98-1.5)^1.05)," ")</f>
        <v>384</v>
      </c>
      <c r="E69" s="172" t="str">
        <f>IF(E68&gt;58,TRUNC(0.84565*(E68*E$98-75)^1.42)," ")</f>
        <v> </v>
      </c>
      <c r="F69" s="172" t="str">
        <f>IF(F68=0," ",IF(F68&lt;96.35,TRUNC(1.53775*(82-F68*F$98)^1.81)," "))</f>
        <v> </v>
      </c>
      <c r="G69" s="172" t="str">
        <f>IF(G68=0," ",IF(G68&lt;31,TRUNC(5.74352*(28.5-G68*G$98)^1.92)," "))</f>
        <v> </v>
      </c>
      <c r="H69" s="172">
        <f>IF(H68&gt;4,TRUNC(12.91*(H68*H$98-4)^1.1)," ")</f>
        <v>226</v>
      </c>
      <c r="I69" s="172" t="str">
        <f>IF(I68&gt;75,TRUNC(0.2797*(I68*I$98-100)^1.35)," ")</f>
        <v> </v>
      </c>
      <c r="J69" s="172">
        <f>IF(J68&gt;6,TRUNC(10.14*(J68*J$98-7)^1.08)," ")</f>
        <v>224</v>
      </c>
      <c r="K69" s="186" t="str">
        <f>IF(K68=0," ",IF(K68&lt;580,TRUNC(0.03768*(480-K68*K$98)^1.85)," "))</f>
        <v> </v>
      </c>
      <c r="L69" s="187"/>
      <c r="M69" s="188">
        <f>SUM(B69:K69)</f>
        <v>834</v>
      </c>
      <c r="N69" s="175">
        <f>MAX(B69:K69)</f>
        <v>384</v>
      </c>
      <c r="O69" s="183">
        <f>MAX(B69:C69,E69:K69)</f>
        <v>226</v>
      </c>
    </row>
    <row r="70" spans="1:15" ht="28.5" customHeight="1">
      <c r="A70" s="118" t="s">
        <v>155</v>
      </c>
      <c r="B70" s="145"/>
      <c r="C70" s="146"/>
      <c r="D70" s="147">
        <v>5.53</v>
      </c>
      <c r="E70" s="146"/>
      <c r="F70" s="147"/>
      <c r="G70" s="147"/>
      <c r="H70" s="147">
        <v>16.55</v>
      </c>
      <c r="I70" s="146"/>
      <c r="J70" s="147">
        <v>15.69</v>
      </c>
      <c r="K70" s="147"/>
      <c r="L70" s="150"/>
      <c r="M70" s="124"/>
      <c r="O70" s="24"/>
    </row>
    <row r="71" spans="1:15" s="184" customFormat="1" ht="28.5" customHeight="1">
      <c r="A71" s="168" t="s">
        <v>156</v>
      </c>
      <c r="B71" s="192" t="str">
        <f>IF(B70=0," ",IF(B70&lt;20.7,TRUNC(25.4347*(18-B70*B$98)^1.81)," "))</f>
        <v> </v>
      </c>
      <c r="C71" s="193" t="str">
        <f>IF(C70&gt;166,TRUNC(0.14354*(C70*C$98-220)^1.4)," ")</f>
        <v> </v>
      </c>
      <c r="D71" s="227">
        <f>IF(D70&gt;1.5,TRUNC(51.39*(D70*D$98-1.5)^1.05)," ")</f>
        <v>310</v>
      </c>
      <c r="E71" s="172" t="str">
        <f>IF(E70&gt;58,TRUNC(0.84565*(E70*E$98-75)^1.42)," ")</f>
        <v> </v>
      </c>
      <c r="F71" s="172" t="str">
        <f>IF(F70=0," ",IF(F70&lt;96.35,TRUNC(1.53775*(82-F70*F$98)^1.81)," "))</f>
        <v> </v>
      </c>
      <c r="G71" s="172" t="str">
        <f>IF(G70=0," ",IF(G70&lt;31,TRUNC(5.74352*(28.5-G70*G$98)^1.92)," "))</f>
        <v> </v>
      </c>
      <c r="H71" s="172">
        <f>IF(H70&gt;4,TRUNC(12.91*(H70*H$98-4)^1.1)," ")</f>
        <v>238</v>
      </c>
      <c r="I71" s="172" t="str">
        <f>IF(I70&gt;75,TRUNC(0.2797*(I70*I$98-100)^1.35)," ")</f>
        <v> </v>
      </c>
      <c r="J71" s="172">
        <f>IF(J70&gt;6,TRUNC(10.14*(J70*J$98-7)^1.08)," ")</f>
        <v>189</v>
      </c>
      <c r="K71" s="194" t="str">
        <f>IF(K70=0," ",IF(K70&lt;580,TRUNC(0.03768*(480-K70*K$98)^1.85)," "))</f>
        <v> </v>
      </c>
      <c r="L71" s="190"/>
      <c r="M71" s="188">
        <f>SUM(B71:K71)</f>
        <v>737</v>
      </c>
      <c r="N71" s="175">
        <f>MAX(B71:K71)</f>
        <v>310</v>
      </c>
      <c r="O71" s="183">
        <f>MAX(B71:C71,E71:K71)</f>
        <v>238</v>
      </c>
    </row>
    <row r="72" spans="1:15" s="224" customFormat="1" ht="22.5" customHeight="1">
      <c r="A72" s="213" t="s">
        <v>162</v>
      </c>
      <c r="B72" s="216"/>
      <c r="C72" s="216"/>
      <c r="D72" s="200">
        <v>6.65</v>
      </c>
      <c r="E72" s="216"/>
      <c r="F72" s="216"/>
      <c r="G72" s="216"/>
      <c r="H72" s="216"/>
      <c r="I72" s="216"/>
      <c r="J72" s="200">
        <v>18.27</v>
      </c>
      <c r="K72" s="216"/>
      <c r="L72" s="222"/>
      <c r="M72" s="223"/>
      <c r="N72" s="219"/>
      <c r="O72" s="219"/>
    </row>
    <row r="73" spans="1:15" s="196" customFormat="1" ht="28.5" customHeight="1">
      <c r="A73" s="168" t="s">
        <v>163</v>
      </c>
      <c r="B73" s="169" t="s">
        <v>164</v>
      </c>
      <c r="C73" s="172" t="s">
        <v>164</v>
      </c>
      <c r="D73" s="227">
        <f>TRUNC(51.39*(D72*D$96-1.5)^1.05)</f>
        <v>331</v>
      </c>
      <c r="E73" s="172" t="str">
        <f>IF(E72&gt;58,TRUNC(0.84565*(E72*E$96-75)^1.42)," ")</f>
        <v> </v>
      </c>
      <c r="F73" s="172"/>
      <c r="G73" s="172" t="str">
        <f>IF(G72=0," ",TRUNC(5.74352*(28.5-G72*G$95)^1.92))</f>
        <v> </v>
      </c>
      <c r="H73" s="172" t="str">
        <f>IF(H72&gt;4,TRUNC(12.91*(H72*H$95-4)^1.1)," ")</f>
        <v> </v>
      </c>
      <c r="I73" s="172" t="str">
        <f>IF(I72&gt;75,TRUNC(0.2797*(I72*I$98-100)^1.35)," ")</f>
        <v> </v>
      </c>
      <c r="J73" s="191">
        <f>IF(J72&gt;6,TRUNC(10.14*(J72*J$95-7)^1.08)," ")</f>
        <v>170</v>
      </c>
      <c r="K73" s="172" t="str">
        <f>IF(K72=0," ",TRUNC(0.03768*(480-K72*K$95)^1.85))</f>
        <v> </v>
      </c>
      <c r="L73" s="190"/>
      <c r="M73" s="188">
        <f>SUM(B73:K73)</f>
        <v>501</v>
      </c>
      <c r="N73" s="175">
        <f>MAX(B73:K73)</f>
        <v>331</v>
      </c>
      <c r="O73" s="183">
        <f>MAX(B73:C73,E73:K73)</f>
        <v>170</v>
      </c>
    </row>
    <row r="74" spans="1:15" s="7" customFormat="1" ht="28.5" customHeight="1">
      <c r="A74" s="118" t="s">
        <v>129</v>
      </c>
      <c r="B74" s="145"/>
      <c r="C74" s="146"/>
      <c r="D74" s="147"/>
      <c r="E74" s="146"/>
      <c r="F74" s="147"/>
      <c r="G74" s="147"/>
      <c r="H74" s="147"/>
      <c r="I74" s="146"/>
      <c r="J74" s="147"/>
      <c r="K74" s="147"/>
      <c r="L74" s="148"/>
      <c r="M74" s="124"/>
      <c r="O74" s="155"/>
    </row>
    <row r="75" spans="1:15" s="184" customFormat="1" ht="28.5" customHeight="1">
      <c r="A75" s="168" t="s">
        <v>67</v>
      </c>
      <c r="B75" s="192" t="str">
        <f>IF(B74=0," ",IF(B74&lt;20.7,TRUNC(25.4347*(18-B74*B$98)^1.81)," "))</f>
        <v> </v>
      </c>
      <c r="C75" s="193" t="str">
        <f>IF(C74&gt;166,TRUNC(0.14354*(C74*C$98-220)^1.4)," ")</f>
        <v> </v>
      </c>
      <c r="D75" s="185" t="str">
        <f>IF(D74&gt;1.5,TRUNC(51.39*(D74*D$98-1.5)^1.05)," ")</f>
        <v> </v>
      </c>
      <c r="E75" s="172" t="str">
        <f>IF(E74&gt;58,TRUNC(0.84565*(E74*E$98-75)^1.42)," ")</f>
        <v> </v>
      </c>
      <c r="F75" s="172" t="str">
        <f>IF(F74=0," ",IF(F74&lt;96.35,TRUNC(1.53775*(82-F74*F$98)^1.81)," "))</f>
        <v> </v>
      </c>
      <c r="G75" s="172" t="str">
        <f>IF(G74=0," ",IF(G74&lt;31,TRUNC(5.74352*(28.5-G74*G$98)^1.92)," "))</f>
        <v> </v>
      </c>
      <c r="H75" s="172" t="str">
        <f>IF(H74&gt;4,TRUNC(12.91*(H74*H$98-4)^1.1)," ")</f>
        <v> </v>
      </c>
      <c r="I75" s="172" t="str">
        <f>IF(I74&gt;75,TRUNC(0.2797*(I74*I$98-100)^1.35)," ")</f>
        <v> </v>
      </c>
      <c r="J75" s="172" t="str">
        <f>IF(J74&gt;6,TRUNC(10.14*(J74*J$98-7)^1.08)," ")</f>
        <v> </v>
      </c>
      <c r="K75" s="194" t="str">
        <f>IF(K74=0," ",IF(K74&lt;580,TRUNC(0.03768*(480-K74*K$98)^1.85)," "))</f>
        <v> </v>
      </c>
      <c r="L75" s="187"/>
      <c r="M75" s="188">
        <f>SUM(B75:K75)</f>
        <v>0</v>
      </c>
      <c r="N75" s="195">
        <f>MAX(B75:K75)</f>
        <v>0</v>
      </c>
      <c r="O75" s="183">
        <f>MAX(B75:C75,E75:K75)</f>
        <v>0</v>
      </c>
    </row>
    <row r="76" spans="3:9" ht="12.75">
      <c r="C76" s="23"/>
      <c r="D76" s="23"/>
      <c r="E76" s="23"/>
      <c r="F76" s="23"/>
      <c r="G76" s="23"/>
      <c r="H76" s="23"/>
      <c r="I76" s="23"/>
    </row>
    <row r="78" ht="26.25">
      <c r="A78" s="33" t="s">
        <v>90</v>
      </c>
    </row>
    <row r="79" ht="15.75">
      <c r="A79" s="118" t="s">
        <v>86</v>
      </c>
    </row>
    <row r="80" spans="2:13" ht="23.25" customHeight="1">
      <c r="B80" s="115" t="s">
        <v>51</v>
      </c>
      <c r="C80" s="116" t="s">
        <v>77</v>
      </c>
      <c r="D80" s="116" t="s">
        <v>78</v>
      </c>
      <c r="E80" s="116" t="s">
        <v>79</v>
      </c>
      <c r="F80" s="116" t="s">
        <v>6</v>
      </c>
      <c r="G80" s="116" t="s">
        <v>80</v>
      </c>
      <c r="H80" s="116" t="s">
        <v>81</v>
      </c>
      <c r="I80" s="116" t="s">
        <v>83</v>
      </c>
      <c r="J80" s="116" t="s">
        <v>82</v>
      </c>
      <c r="K80" s="117" t="s">
        <v>4</v>
      </c>
      <c r="L80" s="96"/>
      <c r="M80" s="122" t="s">
        <v>84</v>
      </c>
    </row>
    <row r="81" spans="1:13" ht="33.75" customHeight="1">
      <c r="A81" s="6" t="s">
        <v>87</v>
      </c>
      <c r="B81" s="161">
        <v>12.82</v>
      </c>
      <c r="C81" s="162">
        <v>559</v>
      </c>
      <c r="D81" s="163">
        <v>10.24</v>
      </c>
      <c r="E81" s="162">
        <v>165</v>
      </c>
      <c r="F81" s="163">
        <v>57.55</v>
      </c>
      <c r="G81" s="163">
        <v>18.25</v>
      </c>
      <c r="H81" s="163">
        <v>31.8</v>
      </c>
      <c r="I81" s="162">
        <v>356</v>
      </c>
      <c r="J81" s="163">
        <v>44</v>
      </c>
      <c r="K81" s="164">
        <v>310.7</v>
      </c>
      <c r="L81" s="35"/>
      <c r="M81" s="74"/>
    </row>
    <row r="82" spans="1:13" ht="26.25" customHeight="1">
      <c r="A82" s="6" t="s">
        <v>88</v>
      </c>
      <c r="B82" s="107">
        <f>IF(B81=0," ",IF(B81&lt;18,TRUNC(25.4347*(18-B81)^1.81)," "))</f>
        <v>499</v>
      </c>
      <c r="C82" s="109">
        <f>IF(C81&gt;220,TRUNC(0.14354*(C81-220)^1.4)," ")</f>
        <v>500</v>
      </c>
      <c r="D82" s="109">
        <f>IF(D81&gt;1.5,TRUNC(51.39*(D81-1.5)^1.05)," ")</f>
        <v>500</v>
      </c>
      <c r="E82" s="109">
        <f>IF(E81&gt;75,TRUNC(0.84565*(E81-75)^1.42)," ")</f>
        <v>503</v>
      </c>
      <c r="F82" s="109">
        <f>IF(F81=0," ",IF(F81&lt;82,TRUNC(1.53775*(82-F81)^1.81)," "))</f>
        <v>500</v>
      </c>
      <c r="G82" s="109">
        <f>IF(G81=0," ",IF(G81&lt;28.5,TRUNC(5.74352*(28.5-G81)^1.92)," "))</f>
        <v>500</v>
      </c>
      <c r="H82" s="109">
        <f>IF(H81&gt;4,TRUNC(12.91*(H81-4)^1.1)," ")</f>
        <v>500</v>
      </c>
      <c r="I82" s="109">
        <f>IF(I81&gt;100,TRUNC(0.2797*(I81-100)^1.35)," ")</f>
        <v>498</v>
      </c>
      <c r="J82" s="109">
        <f>IF(J81&gt;7,TRUNC(10.14*(J81-7)^1.08)," ")</f>
        <v>500</v>
      </c>
      <c r="K82" s="112">
        <f>IF(K81=0," ",IF(K81&lt;480,TRUNC(0.03768*(480-K81)^1.85)," "))</f>
        <v>500</v>
      </c>
      <c r="M82" s="127">
        <f>SUM(B82:K82)</f>
        <v>5000</v>
      </c>
    </row>
    <row r="83" spans="1:13" ht="26.25" customHeight="1">
      <c r="A83" s="118" t="s">
        <v>89</v>
      </c>
      <c r="B83" s="120" t="s">
        <v>91</v>
      </c>
      <c r="C83" s="4"/>
      <c r="D83" s="4"/>
      <c r="E83" s="4"/>
      <c r="F83" s="4"/>
      <c r="G83" s="119"/>
      <c r="H83" s="4"/>
      <c r="I83" s="4"/>
      <c r="J83" s="4"/>
      <c r="K83" s="90"/>
      <c r="M83" s="127"/>
    </row>
    <row r="84" spans="1:13" s="6" customFormat="1" ht="21.75" customHeight="1">
      <c r="A84" s="6" t="s">
        <v>87</v>
      </c>
      <c r="B84" s="103">
        <v>11.33</v>
      </c>
      <c r="C84" s="104">
        <v>679</v>
      </c>
      <c r="D84" s="104">
        <v>17.5</v>
      </c>
      <c r="E84" s="104">
        <v>190</v>
      </c>
      <c r="F84" s="104">
        <v>51</v>
      </c>
      <c r="G84" s="104">
        <v>13.13</v>
      </c>
      <c r="H84" s="104">
        <v>57.95</v>
      </c>
      <c r="I84" s="104">
        <v>410</v>
      </c>
      <c r="J84" s="104">
        <v>60.5</v>
      </c>
      <c r="K84" s="105">
        <v>248.9</v>
      </c>
      <c r="L84" s="102"/>
      <c r="M84" s="124"/>
    </row>
    <row r="85" spans="1:13" s="45" customFormat="1" ht="15.75">
      <c r="A85" s="45" t="s">
        <v>88</v>
      </c>
      <c r="B85" s="107">
        <f>TRUNC(4.99087*(42.5-B84*2)^1.81)</f>
        <v>1113</v>
      </c>
      <c r="C85" s="108">
        <f>TRUNC(0.188807*(C84-210)^1.41)</f>
        <v>1102</v>
      </c>
      <c r="D85" s="108">
        <f>TRUNC(56.0211*(D84-1.5)^1.05)</f>
        <v>1029</v>
      </c>
      <c r="E85" s="108">
        <f>TRUNC(1.84523*(E84-75)^1.348)</f>
        <v>1106</v>
      </c>
      <c r="F85" s="108">
        <f>TRUNC(0.11193*(254-F84*2.4)^1.88)</f>
        <v>1079</v>
      </c>
      <c r="G85" s="108">
        <f>TRUNC(9.23076*(26.7-G84)^1.835)</f>
        <v>1105</v>
      </c>
      <c r="H85" s="109">
        <f>TRUNC(12.91*(H84*H$98-4)^1.1)</f>
        <v>1159</v>
      </c>
      <c r="I85" s="109">
        <f>TRUNC(0.2797*(I84*I$98-100)^1.35)</f>
        <v>1096</v>
      </c>
      <c r="J85" s="108">
        <f>TRUNC(15.9803*(J84-3.8)^1.04)</f>
        <v>1064</v>
      </c>
      <c r="K85" s="110">
        <f>TRUNC(0.11193*(254-K84*0.5)^1.88)</f>
        <v>1047</v>
      </c>
      <c r="M85" s="125">
        <f>SUM(B85:K85)</f>
        <v>10900</v>
      </c>
    </row>
    <row r="86" spans="1:13" ht="47.25" customHeight="1">
      <c r="A86" s="114" t="s">
        <v>85</v>
      </c>
      <c r="B86" s="22"/>
      <c r="C86" s="23"/>
      <c r="D86" s="102"/>
      <c r="E86" s="19"/>
      <c r="F86" s="19"/>
      <c r="G86" s="19" t="s">
        <v>27</v>
      </c>
      <c r="H86" s="19"/>
      <c r="I86" s="19"/>
      <c r="J86" s="19"/>
      <c r="K86" s="20"/>
      <c r="M86" s="127"/>
    </row>
    <row r="87" spans="1:13" ht="18">
      <c r="A87" s="21"/>
      <c r="B87" s="22"/>
      <c r="C87" s="23"/>
      <c r="D87" s="23" t="s">
        <v>12</v>
      </c>
      <c r="E87" s="23"/>
      <c r="F87" s="23"/>
      <c r="G87" s="23" t="s">
        <v>24</v>
      </c>
      <c r="H87" s="23" t="s">
        <v>15</v>
      </c>
      <c r="I87" s="23"/>
      <c r="J87" s="23" t="s">
        <v>17</v>
      </c>
      <c r="K87" s="24"/>
      <c r="M87" s="127"/>
    </row>
    <row r="88" spans="1:13" ht="18">
      <c r="A88" s="21"/>
      <c r="B88" s="22"/>
      <c r="C88" s="23"/>
      <c r="D88" s="25" t="s">
        <v>13</v>
      </c>
      <c r="E88" s="23"/>
      <c r="F88" s="23"/>
      <c r="G88" s="23" t="s">
        <v>25</v>
      </c>
      <c r="H88" s="23" t="s">
        <v>16</v>
      </c>
      <c r="I88" s="23"/>
      <c r="J88" s="23" t="s">
        <v>18</v>
      </c>
      <c r="K88" s="24"/>
      <c r="M88" s="127"/>
    </row>
    <row r="89" spans="1:13" ht="18">
      <c r="A89" s="21"/>
      <c r="B89" s="22"/>
      <c r="C89" s="23"/>
      <c r="D89" s="23" t="s">
        <v>14</v>
      </c>
      <c r="E89" s="23"/>
      <c r="F89" s="23"/>
      <c r="G89" s="25" t="s">
        <v>26</v>
      </c>
      <c r="H89" s="23"/>
      <c r="I89" s="23"/>
      <c r="J89" s="23" t="s">
        <v>19</v>
      </c>
      <c r="K89" s="24"/>
      <c r="M89" s="127"/>
    </row>
    <row r="90" spans="1:13" ht="18">
      <c r="A90" s="26"/>
      <c r="B90" s="13"/>
      <c r="C90" s="27"/>
      <c r="D90" s="27"/>
      <c r="E90" s="27"/>
      <c r="F90" s="27"/>
      <c r="G90" s="27"/>
      <c r="H90" s="27"/>
      <c r="I90" s="27"/>
      <c r="J90" s="27" t="s">
        <v>20</v>
      </c>
      <c r="K90" s="28"/>
      <c r="M90" s="127"/>
    </row>
    <row r="91" spans="1:11" ht="32.25" customHeight="1">
      <c r="A91" s="34" t="s">
        <v>106</v>
      </c>
      <c r="B91" s="31"/>
      <c r="C91" s="4"/>
      <c r="D91" s="4"/>
      <c r="E91" s="4"/>
      <c r="F91" s="4"/>
      <c r="G91" s="4"/>
      <c r="H91" s="4"/>
      <c r="I91" s="4"/>
      <c r="J91" s="4"/>
      <c r="K91" s="16"/>
    </row>
    <row r="92" spans="2:11" ht="18">
      <c r="B92" s="115" t="s">
        <v>51</v>
      </c>
      <c r="C92" s="116" t="s">
        <v>77</v>
      </c>
      <c r="D92" s="116" t="s">
        <v>78</v>
      </c>
      <c r="E92" s="116" t="s">
        <v>79</v>
      </c>
      <c r="F92" s="116" t="s">
        <v>6</v>
      </c>
      <c r="G92" s="116" t="s">
        <v>80</v>
      </c>
      <c r="H92" s="116" t="s">
        <v>81</v>
      </c>
      <c r="I92" s="116" t="s">
        <v>83</v>
      </c>
      <c r="J92" s="116" t="s">
        <v>82</v>
      </c>
      <c r="K92" s="117" t="s">
        <v>4</v>
      </c>
    </row>
    <row r="93" spans="1:11" ht="12.75">
      <c r="A93" s="94" t="s">
        <v>92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>
      <c r="A94" s="94">
        <v>35</v>
      </c>
      <c r="B94" s="37">
        <v>0.9893</v>
      </c>
      <c r="C94" s="37">
        <v>1.051</v>
      </c>
      <c r="D94" s="37">
        <v>1</v>
      </c>
      <c r="E94" s="37">
        <v>1.0546</v>
      </c>
      <c r="F94" s="37">
        <v>0.9702</v>
      </c>
      <c r="G94" s="38">
        <v>0.9999</v>
      </c>
      <c r="H94" s="37">
        <v>1</v>
      </c>
      <c r="I94" s="37">
        <v>1.039</v>
      </c>
      <c r="J94" s="37">
        <v>1.0434</v>
      </c>
      <c r="K94" s="37">
        <v>0.9872</v>
      </c>
    </row>
    <row r="95" spans="1:13" ht="18">
      <c r="A95" s="94">
        <v>40</v>
      </c>
      <c r="B95" s="37">
        <v>0.9545</v>
      </c>
      <c r="C95" s="37">
        <v>1.1112</v>
      </c>
      <c r="D95" s="37">
        <v>1.0271</v>
      </c>
      <c r="E95" s="37">
        <v>1.1059</v>
      </c>
      <c r="F95" s="37">
        <v>0.935</v>
      </c>
      <c r="G95" s="38">
        <v>0.9562</v>
      </c>
      <c r="H95" s="37">
        <v>1</v>
      </c>
      <c r="I95" s="37">
        <v>1.1046</v>
      </c>
      <c r="J95" s="37">
        <v>1.1283</v>
      </c>
      <c r="K95" s="37">
        <v>0.9387</v>
      </c>
      <c r="M95" s="130"/>
    </row>
    <row r="96" spans="1:11" ht="12.75">
      <c r="A96" s="94">
        <v>45</v>
      </c>
      <c r="B96" s="37">
        <v>0.922</v>
      </c>
      <c r="C96" s="37">
        <v>1.1787</v>
      </c>
      <c r="D96" s="37">
        <v>1.1131</v>
      </c>
      <c r="E96" s="37">
        <v>1.1624</v>
      </c>
      <c r="F96" s="37">
        <v>0.9023</v>
      </c>
      <c r="G96" s="38">
        <v>0.9168</v>
      </c>
      <c r="H96" s="37">
        <v>1.0499</v>
      </c>
      <c r="I96" s="37">
        <v>1.1791</v>
      </c>
      <c r="J96" s="37">
        <v>1.2283</v>
      </c>
      <c r="K96" s="37">
        <v>0.8947</v>
      </c>
    </row>
    <row r="97" spans="1:11" ht="18" customHeight="1">
      <c r="A97" s="94">
        <v>50</v>
      </c>
      <c r="B97" s="37">
        <v>0.8917</v>
      </c>
      <c r="C97" s="37">
        <v>1.2549</v>
      </c>
      <c r="D97" s="37">
        <v>1.1468</v>
      </c>
      <c r="E97" s="37">
        <v>1.225</v>
      </c>
      <c r="F97" s="37">
        <v>0.8718</v>
      </c>
      <c r="G97" s="38">
        <v>0.9745</v>
      </c>
      <c r="H97" s="37">
        <v>1</v>
      </c>
      <c r="I97" s="37">
        <v>1.2643</v>
      </c>
      <c r="J97" s="37">
        <v>1.279</v>
      </c>
      <c r="K97" s="37">
        <v>0.8547</v>
      </c>
    </row>
    <row r="98" spans="1:11" ht="12.75">
      <c r="A98" s="94">
        <v>55</v>
      </c>
      <c r="B98" s="37">
        <v>0.8633</v>
      </c>
      <c r="C98" s="37">
        <v>1.3417</v>
      </c>
      <c r="D98" s="37">
        <v>1.2736</v>
      </c>
      <c r="E98" s="37">
        <v>1.2947</v>
      </c>
      <c r="F98" s="37">
        <v>0.8433</v>
      </c>
      <c r="G98" s="38">
        <v>0.9085</v>
      </c>
      <c r="H98" s="37">
        <v>1.0984</v>
      </c>
      <c r="I98" s="37">
        <v>1.3628</v>
      </c>
      <c r="J98" s="37">
        <v>1.4059</v>
      </c>
      <c r="K98" s="37">
        <v>0.8181</v>
      </c>
    </row>
    <row r="99" spans="1:11" ht="12.75">
      <c r="A99" s="94">
        <v>60</v>
      </c>
      <c r="B99" s="37">
        <v>0.8367</v>
      </c>
      <c r="C99" s="37">
        <v>1.4414</v>
      </c>
      <c r="D99" s="37">
        <v>1.2703</v>
      </c>
      <c r="E99" s="37">
        <v>1.3728</v>
      </c>
      <c r="F99" s="37">
        <v>0.8166</v>
      </c>
      <c r="G99" s="38">
        <v>0.9017</v>
      </c>
      <c r="H99" s="37">
        <v>1.1232</v>
      </c>
      <c r="I99" s="37">
        <v>1.478</v>
      </c>
      <c r="J99" s="37">
        <v>1.4804</v>
      </c>
      <c r="K99" s="37">
        <v>0.7845</v>
      </c>
    </row>
    <row r="100" spans="1:11" ht="12.75">
      <c r="A100" s="94">
        <v>65</v>
      </c>
      <c r="B100" s="37">
        <v>0.8117</v>
      </c>
      <c r="C100" s="37">
        <v>1.557</v>
      </c>
      <c r="D100" s="37">
        <v>1.4719</v>
      </c>
      <c r="E100" s="37">
        <v>1.461</v>
      </c>
      <c r="F100" s="37">
        <v>0.7916</v>
      </c>
      <c r="G100" s="38">
        <v>0.8326</v>
      </c>
      <c r="H100" s="37">
        <v>1.2514</v>
      </c>
      <c r="I100" s="37">
        <v>1.6144</v>
      </c>
      <c r="J100" s="37">
        <v>1.6496</v>
      </c>
      <c r="K100" s="37">
        <v>0.7536</v>
      </c>
    </row>
    <row r="101" spans="1:13" ht="12.75">
      <c r="A101" s="94">
        <v>70</v>
      </c>
      <c r="B101" s="37">
        <v>0.7881</v>
      </c>
      <c r="C101" s="37">
        <v>1.6929</v>
      </c>
      <c r="D101" s="37">
        <v>1.3017</v>
      </c>
      <c r="E101" s="37">
        <v>1.5613</v>
      </c>
      <c r="F101" s="37">
        <v>0.7319</v>
      </c>
      <c r="G101" s="38">
        <v>0.9938</v>
      </c>
      <c r="H101" s="37">
        <v>1.4127</v>
      </c>
      <c r="I101" s="37">
        <v>1.7786</v>
      </c>
      <c r="J101" s="37">
        <v>1.7461</v>
      </c>
      <c r="K101" s="37">
        <v>0.723</v>
      </c>
      <c r="M101" s="131"/>
    </row>
    <row r="102" spans="1:11" ht="12.75">
      <c r="A102" s="94">
        <v>75</v>
      </c>
      <c r="B102" s="37">
        <v>0.7417</v>
      </c>
      <c r="C102" s="37">
        <v>1.8546</v>
      </c>
      <c r="D102" s="37">
        <v>1.5043</v>
      </c>
      <c r="E102" s="37">
        <v>1.6763</v>
      </c>
      <c r="F102" s="37">
        <v>0.6643</v>
      </c>
      <c r="G102" s="38">
        <v>0.9437</v>
      </c>
      <c r="H102" s="37">
        <v>1.6217</v>
      </c>
      <c r="I102" s="37">
        <v>1.98</v>
      </c>
      <c r="J102" s="37">
        <v>2.0098</v>
      </c>
      <c r="K102" s="37">
        <v>0.6686</v>
      </c>
    </row>
    <row r="103" spans="1:11" ht="12.75">
      <c r="A103" s="94">
        <v>80</v>
      </c>
      <c r="B103" s="37">
        <v>0.6894</v>
      </c>
      <c r="C103" s="37">
        <v>2.0506</v>
      </c>
      <c r="D103" s="37">
        <v>1.7816</v>
      </c>
      <c r="E103" s="37">
        <v>1.8097</v>
      </c>
      <c r="F103" s="37">
        <v>0.6082</v>
      </c>
      <c r="G103" s="38">
        <v>0.8607</v>
      </c>
      <c r="H103" s="37">
        <v>1.9033</v>
      </c>
      <c r="I103" s="37">
        <v>2.2327</v>
      </c>
      <c r="J103" s="37">
        <v>2.0612</v>
      </c>
      <c r="K103" s="37">
        <v>0.6236</v>
      </c>
    </row>
    <row r="104" spans="1:11" ht="12.75">
      <c r="A104" s="94">
        <v>85</v>
      </c>
      <c r="B104" s="37">
        <v>0.6316</v>
      </c>
      <c r="C104" s="37">
        <v>2.3553</v>
      </c>
      <c r="D104" s="37">
        <v>2.1843</v>
      </c>
      <c r="E104" s="37">
        <v>1.966</v>
      </c>
      <c r="F104" s="37">
        <v>0.5266</v>
      </c>
      <c r="G104" s="38">
        <v>0.7377</v>
      </c>
      <c r="H104" s="37">
        <v>2.3034</v>
      </c>
      <c r="I104" s="37">
        <v>2.5595</v>
      </c>
      <c r="J104" s="37">
        <v>2.6164</v>
      </c>
      <c r="K104" s="37">
        <v>0.5483</v>
      </c>
    </row>
    <row r="105" spans="1:11" ht="12.75">
      <c r="A105" s="94">
        <v>90</v>
      </c>
      <c r="B105" s="37">
        <v>0.5759</v>
      </c>
      <c r="C105" s="37">
        <v>3.0442</v>
      </c>
      <c r="D105" s="37">
        <v>2.8222</v>
      </c>
      <c r="E105" s="37">
        <v>2.2072</v>
      </c>
      <c r="F105" s="37">
        <v>0.4362</v>
      </c>
      <c r="G105" s="38">
        <v>0.6148</v>
      </c>
      <c r="H105" s="37">
        <v>2.9162</v>
      </c>
      <c r="I105" s="37">
        <v>3.07</v>
      </c>
      <c r="J105" s="37">
        <v>3.5811</v>
      </c>
      <c r="K105" s="37">
        <v>0.4416</v>
      </c>
    </row>
    <row r="106" spans="1:11" ht="12.75">
      <c r="A106" s="94">
        <v>95</v>
      </c>
      <c r="B106" s="37">
        <v>0.4925</v>
      </c>
      <c r="C106" s="37">
        <v>4.6134</v>
      </c>
      <c r="D106" s="37">
        <v>3.9862</v>
      </c>
      <c r="E106" s="37">
        <v>2.663</v>
      </c>
      <c r="F106" s="37">
        <v>0.3185</v>
      </c>
      <c r="G106" s="38">
        <v>0.4781</v>
      </c>
      <c r="H106" s="37">
        <v>3.9735</v>
      </c>
      <c r="I106" s="37">
        <v>4.0933</v>
      </c>
      <c r="J106" s="37">
        <v>5.6724</v>
      </c>
      <c r="K106" s="37">
        <v>0.3179</v>
      </c>
    </row>
    <row r="107" spans="1:11" ht="12.75">
      <c r="A107" s="94" t="s">
        <v>2</v>
      </c>
      <c r="B107" s="37">
        <v>0.2417</v>
      </c>
      <c r="C107" s="37">
        <v>11.9333</v>
      </c>
      <c r="D107" s="37">
        <v>6.7847</v>
      </c>
      <c r="E107" s="37">
        <v>3.5</v>
      </c>
      <c r="F107" s="37">
        <v>0.2417</v>
      </c>
      <c r="G107" s="38">
        <v>0.3228</v>
      </c>
      <c r="H107" s="37">
        <v>6.2333</v>
      </c>
      <c r="I107" s="37">
        <v>6.14</v>
      </c>
      <c r="J107" s="37">
        <v>13.6357</v>
      </c>
      <c r="K107" s="37">
        <v>0.2417</v>
      </c>
    </row>
    <row r="108" spans="1:11" ht="12.75">
      <c r="A108" s="8"/>
      <c r="B108" s="99"/>
      <c r="C108" s="95"/>
      <c r="D108" s="95"/>
      <c r="E108" s="95"/>
      <c r="F108" s="95"/>
      <c r="G108" s="100"/>
      <c r="H108" s="95"/>
      <c r="I108" s="95"/>
      <c r="J108" s="95"/>
      <c r="K108" s="95"/>
    </row>
    <row r="109" spans="1:11" ht="26.25">
      <c r="A109" s="101" t="s">
        <v>93</v>
      </c>
      <c r="B109" s="99"/>
      <c r="C109" s="95"/>
      <c r="D109" s="95"/>
      <c r="E109" s="95"/>
      <c r="F109" s="95"/>
      <c r="G109" s="100"/>
      <c r="H109" s="95"/>
      <c r="I109" s="95"/>
      <c r="J109" s="95"/>
      <c r="K109" s="95"/>
    </row>
    <row r="110" spans="2:11" ht="18">
      <c r="B110" s="115" t="s">
        <v>51</v>
      </c>
      <c r="C110" s="116" t="s">
        <v>77</v>
      </c>
      <c r="D110" s="116" t="s">
        <v>78</v>
      </c>
      <c r="E110" s="116" t="s">
        <v>79</v>
      </c>
      <c r="F110" s="116" t="s">
        <v>6</v>
      </c>
      <c r="G110" s="116" t="s">
        <v>80</v>
      </c>
      <c r="H110" s="116" t="s">
        <v>81</v>
      </c>
      <c r="I110" s="116" t="s">
        <v>83</v>
      </c>
      <c r="J110" s="116" t="s">
        <v>82</v>
      </c>
      <c r="K110" s="117" t="s">
        <v>4</v>
      </c>
    </row>
    <row r="111" spans="1:11" ht="15">
      <c r="A111" s="6" t="s">
        <v>52</v>
      </c>
      <c r="B111" s="30">
        <v>12.82</v>
      </c>
      <c r="C111" s="3">
        <v>559</v>
      </c>
      <c r="D111" s="2">
        <v>10.24</v>
      </c>
      <c r="E111" s="3">
        <v>165</v>
      </c>
      <c r="F111" s="2">
        <v>57.55</v>
      </c>
      <c r="G111" s="2">
        <v>18.25</v>
      </c>
      <c r="H111" s="2">
        <v>31.8</v>
      </c>
      <c r="I111" s="3">
        <v>356</v>
      </c>
      <c r="J111" s="2">
        <v>44</v>
      </c>
      <c r="K111" s="15">
        <v>310.7</v>
      </c>
    </row>
    <row r="112" spans="1:11" ht="15">
      <c r="A112" s="6" t="s">
        <v>53</v>
      </c>
      <c r="B112" s="31">
        <f>TRUNC(25.4347*(18-B111*B$94)^1.81)</f>
        <v>523</v>
      </c>
      <c r="C112" s="4">
        <f>TRUNC(0.14354*(C111*C$94-220)^1.4)</f>
        <v>560</v>
      </c>
      <c r="D112" s="4">
        <f>TRUNC(51.39*(D111*D$94-1.5)^1.05)</f>
        <v>500</v>
      </c>
      <c r="E112" s="4">
        <f>TRUNC(0.84565*(E111*E$94-75)^1.42)</f>
        <v>576</v>
      </c>
      <c r="F112" s="4">
        <f>TRUNC(1.53775*(82-F111*F$94)^1.81)</f>
        <v>566</v>
      </c>
      <c r="G112" s="4">
        <f>TRUNC(5.74352*(28.5-G111*G$94)^1.92)</f>
        <v>501</v>
      </c>
      <c r="H112" s="4">
        <f>TRUNC(12.91*(H111*H$94-4)^1.1)</f>
        <v>500</v>
      </c>
      <c r="I112" s="4">
        <f>TRUNC(0.2797*(I111*I$94-100)^1.35)</f>
        <v>535</v>
      </c>
      <c r="J112" s="4">
        <f>TRUNC(10.14*(J111*J$94-7)^1.08)</f>
        <v>528</v>
      </c>
      <c r="K112" s="16">
        <f>TRUNC(0.03768*(480-K111*K$94)^1.85)</f>
        <v>522</v>
      </c>
    </row>
    <row r="113" spans="1:11" ht="15">
      <c r="A113" s="6" t="s">
        <v>52</v>
      </c>
      <c r="B113" s="30">
        <v>12.82</v>
      </c>
      <c r="C113" s="3">
        <v>559</v>
      </c>
      <c r="D113" s="2">
        <v>10.24</v>
      </c>
      <c r="E113" s="3">
        <v>165</v>
      </c>
      <c r="F113" s="2">
        <v>57.55</v>
      </c>
      <c r="G113" s="2">
        <v>18.25</v>
      </c>
      <c r="H113" s="2">
        <v>31.8</v>
      </c>
      <c r="I113" s="3">
        <v>356</v>
      </c>
      <c r="J113" s="2">
        <v>44</v>
      </c>
      <c r="K113" s="15">
        <v>310.7</v>
      </c>
    </row>
    <row r="114" spans="1:11" ht="15">
      <c r="A114" s="6" t="s">
        <v>54</v>
      </c>
      <c r="B114" s="31">
        <f>TRUNC(25.4347*(18-B113*B$95)^1.81)</f>
        <v>605</v>
      </c>
      <c r="C114" s="4">
        <f>TRUNC(0.14354*(C113*C$95-220)^1.4)</f>
        <v>633</v>
      </c>
      <c r="D114" s="4">
        <f>TRUNC(51.39*(D113*D$95-1.5)^1.05)</f>
        <v>517</v>
      </c>
      <c r="E114" s="4">
        <f>TRUNC(0.84565*(E113*E$95-75)^1.42)</f>
        <v>648</v>
      </c>
      <c r="F114" s="4">
        <f>TRUNC(1.53775*(82-F113*F$95)^1.81)</f>
        <v>648</v>
      </c>
      <c r="G114" s="4">
        <f>TRUNC(5.74352*(28.5-G113*G$95)^1.92)</f>
        <v>578</v>
      </c>
      <c r="H114" s="4">
        <f>TRUNC(12.91*(H113*H$95-4)^1.1)</f>
        <v>500</v>
      </c>
      <c r="I114" s="4">
        <f>TRUNC(0.2797*(I113*I$95-100)^1.35)</f>
        <v>599</v>
      </c>
      <c r="J114" s="4">
        <f>TRUNC(10.14*(J113*J$95-7)^1.08)</f>
        <v>583</v>
      </c>
      <c r="K114" s="16">
        <f>TRUNC(0.03768*(480-K113*K$95)^1.85)</f>
        <v>609</v>
      </c>
    </row>
    <row r="115" spans="1:11" ht="15">
      <c r="A115" s="6" t="s">
        <v>52</v>
      </c>
      <c r="B115" s="30">
        <v>12.82</v>
      </c>
      <c r="C115" s="3">
        <v>559</v>
      </c>
      <c r="D115" s="2">
        <v>10.24</v>
      </c>
      <c r="E115" s="3">
        <v>165</v>
      </c>
      <c r="F115" s="2">
        <v>57.55</v>
      </c>
      <c r="G115" s="2">
        <v>18.25</v>
      </c>
      <c r="H115" s="2">
        <v>31.8</v>
      </c>
      <c r="I115" s="3">
        <v>356</v>
      </c>
      <c r="J115" s="2">
        <v>44</v>
      </c>
      <c r="K115" s="15">
        <v>310.7</v>
      </c>
    </row>
    <row r="116" spans="1:11" ht="15">
      <c r="A116" s="6" t="s">
        <v>55</v>
      </c>
      <c r="B116" s="31">
        <f>TRUNC(25.4347*(18-B115*B$96)^1.81)</f>
        <v>687</v>
      </c>
      <c r="C116" s="4">
        <f>TRUNC(0.14354*(C115*C$96-220)^1.4)</f>
        <v>718</v>
      </c>
      <c r="D116" s="4">
        <f>TRUNC(51.39*(D115*D$96-1.5)^1.05)</f>
        <v>570</v>
      </c>
      <c r="E116" s="4">
        <f>TRUNC(0.84565*(E115*E$96-75)^1.42)</f>
        <v>729</v>
      </c>
      <c r="F116" s="4">
        <f>TRUNC(1.53775*(82-F115*F$96)^1.81)</f>
        <v>728</v>
      </c>
      <c r="G116" s="4">
        <f>TRUNC(5.74352*(28.5-G115*G$96)^1.92)</f>
        <v>653</v>
      </c>
      <c r="H116" s="4">
        <f>TRUNC(12.91*(H115*H$96-4)^1.1)</f>
        <v>531</v>
      </c>
      <c r="I116" s="4">
        <f>TRUNC(0.2797*(I115*I$96-100)^1.35)</f>
        <v>673</v>
      </c>
      <c r="J116" s="4">
        <f>TRUNC(10.14*(J115*J$96-7)^1.08)</f>
        <v>649</v>
      </c>
      <c r="K116" s="16">
        <f>TRUNC(0.03768*(480-K115*K$96)^1.85)</f>
        <v>693</v>
      </c>
    </row>
    <row r="117" spans="1:11" ht="15">
      <c r="A117" s="6" t="s">
        <v>52</v>
      </c>
      <c r="B117" s="30">
        <v>12.82</v>
      </c>
      <c r="C117" s="3">
        <v>559</v>
      </c>
      <c r="D117" s="2">
        <v>10.24</v>
      </c>
      <c r="E117" s="3">
        <v>165</v>
      </c>
      <c r="F117" s="2">
        <v>57.55</v>
      </c>
      <c r="G117" s="2">
        <v>18.25</v>
      </c>
      <c r="H117" s="2">
        <v>31.8</v>
      </c>
      <c r="I117" s="3">
        <v>356</v>
      </c>
      <c r="J117" s="2">
        <v>44</v>
      </c>
      <c r="K117" s="15">
        <v>310.7</v>
      </c>
    </row>
    <row r="118" spans="1:11" ht="15">
      <c r="A118" s="6" t="s">
        <v>56</v>
      </c>
      <c r="B118" s="31">
        <f>TRUNC(25.4347*(18-B117*B$97)^1.81)</f>
        <v>767</v>
      </c>
      <c r="C118" s="4">
        <f>TRUNC(0.14354*(C117*C$97-220)^1.4)</f>
        <v>817</v>
      </c>
      <c r="D118" s="4">
        <f>TRUNC(51.39*(D117*D$97-1.5)^1.05)</f>
        <v>591</v>
      </c>
      <c r="E118" s="4">
        <f>TRUNC(0.84565*(E117*E$97-75)^1.42)</f>
        <v>822</v>
      </c>
      <c r="F118" s="4">
        <f>TRUNC(1.53775*(82-F117*F$97)^1.81)</f>
        <v>807</v>
      </c>
      <c r="G118" s="4">
        <f>TRUNC(5.74352*(28.5-G117*G$97)^1.92)</f>
        <v>545</v>
      </c>
      <c r="H118" s="4">
        <f>TRUNC(12.91*(H117*H$97-4)^1.1)</f>
        <v>500</v>
      </c>
      <c r="I118" s="4">
        <f>TRUNC(0.2797*(I117*I$97-100)^1.35)</f>
        <v>760</v>
      </c>
      <c r="J118" s="4">
        <f>TRUNC(10.14*(J117*J$97-7)^1.08)</f>
        <v>682</v>
      </c>
      <c r="K118" s="16">
        <f>TRUNC(0.03768*(480-K117*K$97)^1.85)</f>
        <v>774</v>
      </c>
    </row>
    <row r="119" spans="1:11" ht="15">
      <c r="A119" s="6" t="s">
        <v>52</v>
      </c>
      <c r="B119" s="30">
        <v>12.82</v>
      </c>
      <c r="C119" s="3">
        <v>559</v>
      </c>
      <c r="D119" s="2">
        <v>10.24</v>
      </c>
      <c r="E119" s="3">
        <v>165</v>
      </c>
      <c r="F119" s="2">
        <v>57.55</v>
      </c>
      <c r="G119" s="2">
        <v>18.25</v>
      </c>
      <c r="H119" s="2">
        <v>31.8</v>
      </c>
      <c r="I119" s="3">
        <v>356</v>
      </c>
      <c r="J119" s="2">
        <v>44</v>
      </c>
      <c r="K119" s="15">
        <v>310.7</v>
      </c>
    </row>
    <row r="120" spans="1:11" ht="15">
      <c r="A120" s="6" t="s">
        <v>57</v>
      </c>
      <c r="B120" s="31">
        <f>TRUNC(25.4347*(18-B119*B$98)^1.81)</f>
        <v>846</v>
      </c>
      <c r="C120" s="4">
        <f>TRUNC(0.14354*(C119*C$98-220)^1.4)</f>
        <v>935</v>
      </c>
      <c r="D120" s="4">
        <f>TRUNC(51.39*(D119*D$98-1.5)^1.05)</f>
        <v>670</v>
      </c>
      <c r="E120" s="4">
        <f>TRUNC(0.84565*(E119*E$98-75)^1.42)</f>
        <v>930</v>
      </c>
      <c r="F120" s="4">
        <f>TRUNC(1.53775*(82-F119*F$98)^1.81)</f>
        <v>884</v>
      </c>
      <c r="G120" s="4">
        <f>TRUNC(5.74352*(28.5-G119*G$98)^1.92)</f>
        <v>669</v>
      </c>
      <c r="H120" s="4">
        <f>TRUNC(12.91*(H119*H$98-4)^1.1)</f>
        <v>562</v>
      </c>
      <c r="I120" s="4">
        <f>TRUNC(0.2797*(I119*I$98-100)^1.35)</f>
        <v>865</v>
      </c>
      <c r="J120" s="4">
        <f>TRUNC(10.14*(J119*J$98-7)^1.08)</f>
        <v>766</v>
      </c>
      <c r="K120" s="16">
        <f>TRUNC(0.03768*(480-K119*K$98)^1.85)</f>
        <v>852</v>
      </c>
    </row>
    <row r="121" spans="1:11" ht="15">
      <c r="A121" s="6"/>
      <c r="B121" s="31"/>
      <c r="C121" s="4"/>
      <c r="D121" s="4"/>
      <c r="E121" s="4"/>
      <c r="F121" s="4"/>
      <c r="G121" s="4"/>
      <c r="H121" s="4"/>
      <c r="I121" s="4"/>
      <c r="J121" s="4"/>
      <c r="K121" s="90"/>
    </row>
    <row r="122" spans="1:11" ht="12.75">
      <c r="A122" s="8"/>
      <c r="B122" s="99"/>
      <c r="C122" s="95"/>
      <c r="D122" s="95"/>
      <c r="E122" s="95"/>
      <c r="F122" s="95"/>
      <c r="G122" s="100"/>
      <c r="H122" s="95"/>
      <c r="I122" s="95"/>
      <c r="J122" s="95"/>
      <c r="K122" s="95"/>
    </row>
    <row r="123" spans="1:11" ht="12.75">
      <c r="A123" s="121" t="s">
        <v>95</v>
      </c>
      <c r="B123" s="99"/>
      <c r="C123" s="95"/>
      <c r="D123" s="95"/>
      <c r="E123" s="95"/>
      <c r="F123" s="95"/>
      <c r="G123" s="100"/>
      <c r="H123" s="95"/>
      <c r="I123" s="95"/>
      <c r="J123" s="95"/>
      <c r="K123" s="95"/>
    </row>
    <row r="124" spans="2:11" ht="12.75">
      <c r="B124" s="32"/>
      <c r="C124" s="10"/>
      <c r="D124" s="9"/>
      <c r="E124" s="10"/>
      <c r="F124" s="9"/>
      <c r="G124" s="11"/>
      <c r="H124" s="9"/>
      <c r="I124" s="10"/>
      <c r="J124" s="9"/>
      <c r="K124" s="9"/>
    </row>
    <row r="125" spans="2:13" ht="33" customHeight="1">
      <c r="B125" s="115" t="s">
        <v>51</v>
      </c>
      <c r="C125" s="116" t="s">
        <v>77</v>
      </c>
      <c r="D125" s="116" t="s">
        <v>78</v>
      </c>
      <c r="E125" s="116" t="s">
        <v>79</v>
      </c>
      <c r="F125" s="116" t="s">
        <v>6</v>
      </c>
      <c r="G125" s="116" t="s">
        <v>80</v>
      </c>
      <c r="H125" s="116" t="s">
        <v>81</v>
      </c>
      <c r="I125" s="116" t="s">
        <v>83</v>
      </c>
      <c r="J125" s="116" t="s">
        <v>82</v>
      </c>
      <c r="K125" s="117" t="s">
        <v>4</v>
      </c>
      <c r="M125" s="130" t="s">
        <v>3</v>
      </c>
    </row>
    <row r="126" spans="1:13" ht="33.75" customHeight="1">
      <c r="A126" s="6" t="s">
        <v>94</v>
      </c>
      <c r="B126" s="30">
        <v>9.78</v>
      </c>
      <c r="C126" s="3">
        <v>895</v>
      </c>
      <c r="D126" s="2">
        <v>23.1</v>
      </c>
      <c r="E126" s="3">
        <v>245</v>
      </c>
      <c r="F126" s="2">
        <v>43.1</v>
      </c>
      <c r="G126" s="2">
        <v>12.91</v>
      </c>
      <c r="H126" s="2">
        <v>74.08</v>
      </c>
      <c r="I126" s="3">
        <v>614</v>
      </c>
      <c r="J126" s="2">
        <v>98.65</v>
      </c>
      <c r="K126" s="15">
        <v>206</v>
      </c>
      <c r="L126" s="35"/>
      <c r="M126" s="74"/>
    </row>
    <row r="127" spans="1:13" ht="26.25" customHeight="1">
      <c r="A127" s="6" t="s">
        <v>88</v>
      </c>
      <c r="B127" s="31">
        <f>TRUNC(25.4347*(18-B126)^1.81)</f>
        <v>1151</v>
      </c>
      <c r="C127" s="4">
        <f>TRUNC(0.14354*(C126-220)^1.4)</f>
        <v>1312</v>
      </c>
      <c r="D127" s="4">
        <f>TRUNC(51.39*(D126-1.5)^1.05)</f>
        <v>1294</v>
      </c>
      <c r="E127" s="4">
        <f>TRUNC(0.84565*(E126-75)^1.42)</f>
        <v>1242</v>
      </c>
      <c r="F127" s="4">
        <f>TRUNC(1.53775*(82-F126)^1.81)</f>
        <v>1160</v>
      </c>
      <c r="G127" s="4">
        <f>TRUNC(5.74352*(28.5-G126)^1.92)</f>
        <v>1120</v>
      </c>
      <c r="H127" s="4">
        <f>TRUNC(12.91*(H126-4)^1.1)</f>
        <v>1383</v>
      </c>
      <c r="I127" s="4">
        <f>TRUNC(0.2797*(I126-100)^1.35)</f>
        <v>1277</v>
      </c>
      <c r="J127" s="4">
        <f>TRUNC(10.14*(J126-7)^1.08)</f>
        <v>1333</v>
      </c>
      <c r="K127" s="16">
        <f>TRUNC(0.03768*(480-K126)^1.85)</f>
        <v>1218</v>
      </c>
      <c r="M127" s="127">
        <f>SUM(B127:K127)</f>
        <v>12490</v>
      </c>
    </row>
    <row r="128" spans="1:13" ht="33.75" customHeight="1">
      <c r="A128" s="6" t="s">
        <v>96</v>
      </c>
      <c r="B128" s="30">
        <v>10.39</v>
      </c>
      <c r="C128" s="3">
        <v>776</v>
      </c>
      <c r="D128" s="58">
        <v>18.4</v>
      </c>
      <c r="E128" s="3">
        <v>221</v>
      </c>
      <c r="F128" s="2">
        <v>46.17</v>
      </c>
      <c r="G128" s="2">
        <v>13.8</v>
      </c>
      <c r="H128" s="2">
        <v>56.2</v>
      </c>
      <c r="I128" s="3">
        <v>529</v>
      </c>
      <c r="J128" s="2">
        <v>77.2</v>
      </c>
      <c r="K128" s="15">
        <v>233.7</v>
      </c>
      <c r="L128" s="35"/>
      <c r="M128" s="74"/>
    </row>
    <row r="129" spans="1:13" ht="26.25" customHeight="1">
      <c r="A129" s="6" t="s">
        <v>88</v>
      </c>
      <c r="B129" s="31">
        <f>TRUNC(25.4347*(18-B128)^1.81)</f>
        <v>1001</v>
      </c>
      <c r="C129" s="4">
        <f>TRUNC(0.14354*(C128-220)^1.4)</f>
        <v>1000</v>
      </c>
      <c r="D129" s="4">
        <f>TRUNC(51.39*(D128-1.5)^1.05)</f>
        <v>1000</v>
      </c>
      <c r="E129" s="4">
        <f>TRUNC(0.84565*(E128-75)^1.42)</f>
        <v>1001</v>
      </c>
      <c r="F129" s="4">
        <f>TRUNC(1.53775*(82-F128)^1.81)</f>
        <v>1000</v>
      </c>
      <c r="G129" s="4">
        <f>TRUNC(5.74352*(28.5-G128)^1.92)</f>
        <v>1000</v>
      </c>
      <c r="H129" s="4">
        <f>TRUNC(12.91*(H128-4)^1.1)</f>
        <v>1000</v>
      </c>
      <c r="I129" s="4">
        <f>TRUNC(0.2797*(I128-100)^1.35)</f>
        <v>1001</v>
      </c>
      <c r="J129" s="4">
        <f>TRUNC(10.14*(J128-7)^1.08)</f>
        <v>1000</v>
      </c>
      <c r="K129" s="16">
        <f>TRUNC(0.03768*(480-K128)^1.85)</f>
        <v>1000</v>
      </c>
      <c r="M129" s="127">
        <f>SUM(B129:K129)</f>
        <v>10003</v>
      </c>
    </row>
    <row r="130" spans="1:13" ht="33.75" customHeight="1">
      <c r="A130" s="6" t="s">
        <v>97</v>
      </c>
      <c r="B130" s="30">
        <v>10.83</v>
      </c>
      <c r="C130" s="3">
        <v>736</v>
      </c>
      <c r="D130" s="2">
        <v>16.79</v>
      </c>
      <c r="E130" s="3">
        <v>211</v>
      </c>
      <c r="F130" s="2">
        <v>48.18</v>
      </c>
      <c r="G130" s="2">
        <v>14.59</v>
      </c>
      <c r="H130" s="2">
        <v>51.43</v>
      </c>
      <c r="I130" s="3">
        <v>496</v>
      </c>
      <c r="J130" s="2">
        <v>70.7</v>
      </c>
      <c r="K130" s="15">
        <v>247.4</v>
      </c>
      <c r="L130" s="35"/>
      <c r="M130" s="74"/>
    </row>
    <row r="131" spans="1:13" s="62" customFormat="1" ht="26.25" customHeight="1" thickBot="1">
      <c r="A131" s="59" t="s">
        <v>88</v>
      </c>
      <c r="B131" s="60">
        <f>TRUNC(25.4347*(18-B130)^1.81)</f>
        <v>899</v>
      </c>
      <c r="C131" s="75">
        <f>TRUNC(0.14354*(C130-220)^1.4)</f>
        <v>900</v>
      </c>
      <c r="D131" s="75">
        <f>TRUNC(51.39*(D130-1.5)^1.05)</f>
        <v>900</v>
      </c>
      <c r="E131" s="75">
        <f>TRUNC(0.84565*(E130-75)^1.42)</f>
        <v>905</v>
      </c>
      <c r="F131" s="75">
        <f>TRUNC(1.53775*(82-F130)^1.81)</f>
        <v>900</v>
      </c>
      <c r="G131" s="75">
        <f>TRUNC(5.74352*(28.5-G130)^1.92)</f>
        <v>900</v>
      </c>
      <c r="H131" s="75">
        <f>TRUNC(12.91*(H130-4)^1.1)</f>
        <v>900</v>
      </c>
      <c r="I131" s="75">
        <f>TRUNC(0.2797*(I130-100)^1.35)</f>
        <v>898</v>
      </c>
      <c r="J131" s="75">
        <f>TRUNC(10.14*(J130-7)^1.08)</f>
        <v>900</v>
      </c>
      <c r="K131" s="76">
        <f>TRUNC(0.03768*(480-K130)^1.85)</f>
        <v>900</v>
      </c>
      <c r="M131" s="132">
        <f>SUM(B131:K131)</f>
        <v>9002</v>
      </c>
    </row>
    <row r="132" spans="1:13" s="7" customFormat="1" ht="33.75" customHeight="1" thickTop="1">
      <c r="A132" s="7" t="s">
        <v>98</v>
      </c>
      <c r="B132" s="70">
        <v>17.76</v>
      </c>
      <c r="C132" s="4">
        <v>225</v>
      </c>
      <c r="D132" s="71">
        <v>1.53</v>
      </c>
      <c r="E132" s="4">
        <v>77</v>
      </c>
      <c r="F132" s="71">
        <v>81</v>
      </c>
      <c r="G132" s="71">
        <v>28</v>
      </c>
      <c r="H132" s="71">
        <v>4.1</v>
      </c>
      <c r="I132" s="4">
        <v>103</v>
      </c>
      <c r="J132" s="71">
        <v>7.2</v>
      </c>
      <c r="K132" s="72">
        <v>474.11</v>
      </c>
      <c r="L132" s="73"/>
      <c r="M132" s="74"/>
    </row>
    <row r="133" spans="1:13" s="68" customFormat="1" ht="26.25" customHeight="1" thickBot="1">
      <c r="A133" s="64" t="s">
        <v>8</v>
      </c>
      <c r="B133" s="65">
        <f>TRUNC(25.4347*(18-B132)^1.81)</f>
        <v>1</v>
      </c>
      <c r="C133" s="66">
        <f>TRUNC(0.14354*(C132-220)^1.4)</f>
        <v>1</v>
      </c>
      <c r="D133" s="66">
        <f>TRUNC(51.39*(D132-1.5)^1.05)</f>
        <v>1</v>
      </c>
      <c r="E133" s="66">
        <f>TRUNC(0.84565*(E132-75)^1.42)</f>
        <v>2</v>
      </c>
      <c r="F133" s="66">
        <f>TRUNC(1.53775*(82-F132)^1.81)</f>
        <v>1</v>
      </c>
      <c r="G133" s="66">
        <f>TRUNC(5.74352*(28.5-G132)^1.92)</f>
        <v>1</v>
      </c>
      <c r="H133" s="66">
        <f>TRUNC(12.91*(H132-4)^1.1)</f>
        <v>1</v>
      </c>
      <c r="I133" s="66">
        <f>TRUNC(0.2797*(I132-100)^1.35)</f>
        <v>1</v>
      </c>
      <c r="J133" s="66">
        <f>TRUNC(10.14*(J132-7)^1.08)</f>
        <v>1</v>
      </c>
      <c r="K133" s="67">
        <f>TRUNC(0.03768*(480-K132)^1.85)</f>
        <v>1</v>
      </c>
      <c r="M133" s="133">
        <f>SUM(B133:K133)</f>
        <v>11</v>
      </c>
    </row>
    <row r="134" spans="1:13" ht="33.75" customHeight="1">
      <c r="A134" s="6" t="s">
        <v>31</v>
      </c>
      <c r="B134" s="30">
        <v>12.82</v>
      </c>
      <c r="C134" s="3">
        <v>559</v>
      </c>
      <c r="D134" s="2">
        <v>10.24</v>
      </c>
      <c r="E134" s="3">
        <v>165</v>
      </c>
      <c r="F134" s="2">
        <v>57.55</v>
      </c>
      <c r="G134" s="2">
        <v>18.25</v>
      </c>
      <c r="H134" s="2">
        <v>31.8</v>
      </c>
      <c r="I134" s="3">
        <v>356</v>
      </c>
      <c r="J134" s="2">
        <v>44</v>
      </c>
      <c r="K134" s="15">
        <v>310.7</v>
      </c>
      <c r="L134" s="35"/>
      <c r="M134" s="74"/>
    </row>
    <row r="135" spans="1:13" ht="26.25" customHeight="1" thickBot="1">
      <c r="A135" s="64" t="s">
        <v>8</v>
      </c>
      <c r="B135" s="65">
        <f>TRUNC(25.4347*(18-B134)^1.81)</f>
        <v>499</v>
      </c>
      <c r="C135" s="66">
        <f>TRUNC(0.14354*(C134-220)^1.4)</f>
        <v>500</v>
      </c>
      <c r="D135" s="66">
        <f>TRUNC(51.39*(D134-1.5)^1.05)</f>
        <v>500</v>
      </c>
      <c r="E135" s="66">
        <f>TRUNC(0.84565*(E134-75)^1.42)</f>
        <v>503</v>
      </c>
      <c r="F135" s="66">
        <f>TRUNC(1.53775*(82-F134)^1.81)</f>
        <v>500</v>
      </c>
      <c r="G135" s="66">
        <f>TRUNC(5.74352*(28.5-G134)^1.92)</f>
        <v>500</v>
      </c>
      <c r="H135" s="66">
        <f>TRUNC(12.91*(H134-4)^1.1)</f>
        <v>500</v>
      </c>
      <c r="I135" s="66">
        <f>TRUNC(0.2797*(I134-100)^1.35)</f>
        <v>498</v>
      </c>
      <c r="J135" s="66">
        <f>TRUNC(10.14*(J134-7)^1.08)</f>
        <v>500</v>
      </c>
      <c r="K135" s="67">
        <f>TRUNC(0.03768*(480-K134)^1.85)</f>
        <v>500</v>
      </c>
      <c r="L135" s="68"/>
      <c r="M135" s="133">
        <f>SUM(B135:K135)</f>
        <v>5000</v>
      </c>
    </row>
    <row r="136" ht="33.75" customHeight="1">
      <c r="A136" s="36"/>
    </row>
    <row r="137" spans="2:13" ht="32.25" customHeight="1">
      <c r="B137" s="115" t="s">
        <v>51</v>
      </c>
      <c r="C137" s="116" t="s">
        <v>77</v>
      </c>
      <c r="D137" s="116" t="s">
        <v>78</v>
      </c>
      <c r="E137" s="116" t="s">
        <v>79</v>
      </c>
      <c r="F137" s="116" t="s">
        <v>6</v>
      </c>
      <c r="G137" s="116" t="s">
        <v>80</v>
      </c>
      <c r="H137" s="116" t="s">
        <v>81</v>
      </c>
      <c r="I137" s="116" t="s">
        <v>83</v>
      </c>
      <c r="J137" s="116" t="s">
        <v>82</v>
      </c>
      <c r="K137" s="117" t="s">
        <v>4</v>
      </c>
      <c r="M137" s="130" t="s">
        <v>3</v>
      </c>
    </row>
    <row r="138" spans="1:13" ht="18">
      <c r="A138" t="s">
        <v>99</v>
      </c>
      <c r="B138" s="44">
        <v>14.4</v>
      </c>
      <c r="C138" s="42">
        <v>423</v>
      </c>
      <c r="D138" s="41">
        <v>8</v>
      </c>
      <c r="E138" s="42">
        <v>130</v>
      </c>
      <c r="F138" s="41">
        <v>69.9</v>
      </c>
      <c r="G138" s="41">
        <v>19.72</v>
      </c>
      <c r="H138" s="41">
        <v>21</v>
      </c>
      <c r="I138" s="42">
        <v>250</v>
      </c>
      <c r="J138" s="41">
        <v>29</v>
      </c>
      <c r="K138" s="41">
        <v>343.7</v>
      </c>
      <c r="L138" s="56"/>
      <c r="M138" s="130"/>
    </row>
    <row r="139" spans="1:13" ht="18">
      <c r="A139" t="s">
        <v>100</v>
      </c>
      <c r="B139" s="37">
        <v>0.8633</v>
      </c>
      <c r="C139" s="37">
        <v>1.3417</v>
      </c>
      <c r="D139" s="37">
        <v>1.2736</v>
      </c>
      <c r="E139" s="37">
        <v>1.2947</v>
      </c>
      <c r="F139" s="37">
        <v>0.8433</v>
      </c>
      <c r="G139" s="38">
        <v>0.9085</v>
      </c>
      <c r="H139" s="37">
        <v>1.0984</v>
      </c>
      <c r="I139" s="37">
        <v>1.3628</v>
      </c>
      <c r="J139" s="37">
        <v>1.4059</v>
      </c>
      <c r="K139" s="37">
        <v>0.8181</v>
      </c>
      <c r="M139" s="130"/>
    </row>
    <row r="140" spans="1:13" ht="15">
      <c r="A140" s="45" t="s">
        <v>103</v>
      </c>
      <c r="B140" s="46">
        <f>B139*B138</f>
        <v>12.431519999999999</v>
      </c>
      <c r="C140" s="48">
        <f aca="true" t="shared" si="0" ref="C140:K140">C139*C138</f>
        <v>567.5391</v>
      </c>
      <c r="D140" s="47">
        <f t="shared" si="0"/>
        <v>10.1888</v>
      </c>
      <c r="E140" s="48">
        <f t="shared" si="0"/>
        <v>168.311</v>
      </c>
      <c r="F140" s="51">
        <f t="shared" si="0"/>
        <v>58.94667000000001</v>
      </c>
      <c r="G140" s="47">
        <f t="shared" si="0"/>
        <v>17.915619999999997</v>
      </c>
      <c r="H140" s="47">
        <f t="shared" si="0"/>
        <v>23.0664</v>
      </c>
      <c r="I140" s="50">
        <f t="shared" si="0"/>
        <v>340.7</v>
      </c>
      <c r="J140" s="47">
        <f t="shared" si="0"/>
        <v>40.7711</v>
      </c>
      <c r="K140" s="47">
        <f t="shared" si="0"/>
        <v>281.18097</v>
      </c>
      <c r="L140" s="49"/>
      <c r="M140" s="74"/>
    </row>
    <row r="141" spans="1:13" s="62" customFormat="1" ht="18.75" thickBot="1">
      <c r="A141" s="59" t="s">
        <v>8</v>
      </c>
      <c r="B141" s="60">
        <f>TRUNC(25.4347*(18-B140)^1.81)</f>
        <v>569</v>
      </c>
      <c r="C141" s="61">
        <f>TRUNC(0.14354*(C140-220)^1.4)</f>
        <v>518</v>
      </c>
      <c r="D141" s="61">
        <f>TRUNC(51.39*(D140-1.5)^1.05)</f>
        <v>497</v>
      </c>
      <c r="E141" s="61">
        <f>TRUNC(0.84565*(E140-75)^1.42)</f>
        <v>530</v>
      </c>
      <c r="F141" s="61">
        <f>TRUNC(1.53775*(82-F140)^1.81)</f>
        <v>450</v>
      </c>
      <c r="G141" s="61">
        <f>TRUNC(5.74352*(28.5-G140)^1.92)</f>
        <v>532</v>
      </c>
      <c r="H141" s="61">
        <f>TRUNC(12.91*(H140-4)^1.1)</f>
        <v>330</v>
      </c>
      <c r="I141" s="61">
        <f>TRUNC(0.2797*(I140-100)^1.35)</f>
        <v>458</v>
      </c>
      <c r="J141" s="61">
        <f>TRUNC(10.14*(J140-7)^1.08)</f>
        <v>453</v>
      </c>
      <c r="K141" s="61">
        <f>TRUNC(0.03768*(480-K140)^1.85)</f>
        <v>673</v>
      </c>
      <c r="M141" s="132">
        <f>SUM(B141:K141)</f>
        <v>5010</v>
      </c>
    </row>
    <row r="142" spans="1:13" ht="18.75" thickTop="1">
      <c r="A142" t="s">
        <v>101</v>
      </c>
      <c r="B142" s="44">
        <v>20.6</v>
      </c>
      <c r="C142" s="42">
        <v>167</v>
      </c>
      <c r="D142" s="41">
        <v>1.21</v>
      </c>
      <c r="E142" s="42">
        <v>59</v>
      </c>
      <c r="F142" s="41">
        <v>96</v>
      </c>
      <c r="G142" s="41">
        <v>30.8</v>
      </c>
      <c r="H142" s="41">
        <v>3.74</v>
      </c>
      <c r="I142" s="42">
        <v>76</v>
      </c>
      <c r="J142" s="41">
        <v>5.1</v>
      </c>
      <c r="K142" s="41">
        <v>579.53</v>
      </c>
      <c r="L142" s="56"/>
      <c r="M142" s="130"/>
    </row>
    <row r="143" spans="1:13" ht="18">
      <c r="A143" t="s">
        <v>30</v>
      </c>
      <c r="B143" s="37">
        <v>0.8633</v>
      </c>
      <c r="C143" s="37">
        <v>1.3417</v>
      </c>
      <c r="D143" s="37">
        <v>1.2736</v>
      </c>
      <c r="E143" s="37">
        <v>1.2947</v>
      </c>
      <c r="F143" s="37">
        <v>0.8433</v>
      </c>
      <c r="G143" s="38">
        <v>0.9085</v>
      </c>
      <c r="H143" s="37">
        <v>1.0984</v>
      </c>
      <c r="I143" s="37">
        <v>1.3628</v>
      </c>
      <c r="J143" s="37">
        <v>1.4059</v>
      </c>
      <c r="K143" s="37">
        <v>0.8181</v>
      </c>
      <c r="M143" s="130"/>
    </row>
    <row r="144" spans="1:13" ht="15">
      <c r="A144" s="45" t="s">
        <v>22</v>
      </c>
      <c r="B144" s="46">
        <f aca="true" t="shared" si="1" ref="B144:K144">B143*B142</f>
        <v>17.78398</v>
      </c>
      <c r="C144" s="48">
        <f t="shared" si="1"/>
        <v>224.0639</v>
      </c>
      <c r="D144" s="47">
        <f t="shared" si="1"/>
        <v>1.541056</v>
      </c>
      <c r="E144" s="48">
        <f t="shared" si="1"/>
        <v>76.3873</v>
      </c>
      <c r="F144" s="51">
        <f t="shared" si="1"/>
        <v>80.9568</v>
      </c>
      <c r="G144" s="47">
        <f t="shared" si="1"/>
        <v>27.9818</v>
      </c>
      <c r="H144" s="47">
        <f t="shared" si="1"/>
        <v>4.108016</v>
      </c>
      <c r="I144" s="50">
        <f t="shared" si="1"/>
        <v>103.5728</v>
      </c>
      <c r="J144" s="47">
        <f t="shared" si="1"/>
        <v>7.170089999999999</v>
      </c>
      <c r="K144" s="47">
        <f t="shared" si="1"/>
        <v>474.113493</v>
      </c>
      <c r="L144" s="49"/>
      <c r="M144" s="74"/>
    </row>
    <row r="145" spans="1:13" ht="18">
      <c r="A145" s="6" t="s">
        <v>8</v>
      </c>
      <c r="B145" s="31">
        <f>TRUNC(25.4347*(18-B144)^1.81)</f>
        <v>1</v>
      </c>
      <c r="C145" s="39">
        <f>TRUNC(0.14354*(C144-220)^1.4)</f>
        <v>1</v>
      </c>
      <c r="D145" s="39">
        <f>TRUNC(51.39*(D144-1.5)^1.05)</f>
        <v>1</v>
      </c>
      <c r="E145" s="39">
        <f>TRUNC(0.84565*(E144-75)^1.42)</f>
        <v>1</v>
      </c>
      <c r="F145" s="39">
        <f>TRUNC(1.53775*(82-F144)^1.81)</f>
        <v>1</v>
      </c>
      <c r="G145" s="39">
        <f>TRUNC(5.74352*(28.5-G144)^1.92)</f>
        <v>1</v>
      </c>
      <c r="H145" s="39">
        <f>TRUNC(12.91*(H144-4)^1.1)</f>
        <v>1</v>
      </c>
      <c r="I145" s="39">
        <f>TRUNC(0.2797*(I144-100)^1.35)</f>
        <v>1</v>
      </c>
      <c r="J145" s="39">
        <f>TRUNC(10.14*(J144-7)^1.08)</f>
        <v>1</v>
      </c>
      <c r="K145" s="39">
        <f>TRUNC(0.03768*(480-K144)^1.85)</f>
        <v>1</v>
      </c>
      <c r="M145" s="127">
        <f>SUM(B145:K145)</f>
        <v>10</v>
      </c>
    </row>
    <row r="146" spans="1:13" ht="18">
      <c r="A146" s="6"/>
      <c r="B146" s="89"/>
      <c r="C146" s="90"/>
      <c r="D146" s="90"/>
      <c r="E146" s="90"/>
      <c r="F146" s="90"/>
      <c r="G146" s="90"/>
      <c r="H146" s="90"/>
      <c r="I146" s="90"/>
      <c r="J146" s="90"/>
      <c r="K146" s="16"/>
      <c r="M146" s="127"/>
    </row>
    <row r="147" spans="1:13" ht="18">
      <c r="A147" s="26"/>
      <c r="B147" s="13"/>
      <c r="C147" s="27"/>
      <c r="D147" s="27"/>
      <c r="E147" s="27"/>
      <c r="F147" s="27"/>
      <c r="G147" s="27"/>
      <c r="H147" s="27"/>
      <c r="I147" s="27"/>
      <c r="J147" s="27" t="s">
        <v>20</v>
      </c>
      <c r="K147" s="28"/>
      <c r="M147" s="127"/>
    </row>
    <row r="148" spans="1:11" ht="32.25" customHeight="1">
      <c r="A148" s="34" t="s">
        <v>102</v>
      </c>
      <c r="B148" s="31"/>
      <c r="C148" s="4"/>
      <c r="D148" s="4"/>
      <c r="E148" s="4"/>
      <c r="F148" s="4"/>
      <c r="G148" s="4"/>
      <c r="H148" s="4"/>
      <c r="I148" s="4"/>
      <c r="J148" s="4"/>
      <c r="K148" s="16"/>
    </row>
    <row r="149" spans="2:11" ht="30.75" customHeight="1">
      <c r="B149" s="115" t="s">
        <v>51</v>
      </c>
      <c r="C149" s="116" t="s">
        <v>77</v>
      </c>
      <c r="D149" s="116" t="s">
        <v>78</v>
      </c>
      <c r="E149" s="116" t="s">
        <v>79</v>
      </c>
      <c r="F149" s="116" t="s">
        <v>6</v>
      </c>
      <c r="G149" s="116" t="s">
        <v>80</v>
      </c>
      <c r="H149" s="116" t="s">
        <v>81</v>
      </c>
      <c r="I149" s="116" t="s">
        <v>83</v>
      </c>
      <c r="J149" s="116" t="s">
        <v>82</v>
      </c>
      <c r="K149" s="117" t="s">
        <v>4</v>
      </c>
    </row>
    <row r="150" spans="1:11" ht="12.75">
      <c r="A150" s="8" t="s">
        <v>9</v>
      </c>
      <c r="B150" s="37" t="s">
        <v>10</v>
      </c>
      <c r="C150" s="37" t="s">
        <v>10</v>
      </c>
      <c r="D150" s="37" t="s">
        <v>10</v>
      </c>
      <c r="E150" s="37" t="s">
        <v>10</v>
      </c>
      <c r="F150" s="37" t="s">
        <v>10</v>
      </c>
      <c r="G150" s="37" t="s">
        <v>10</v>
      </c>
      <c r="H150" s="37" t="s">
        <v>10</v>
      </c>
      <c r="I150" s="37" t="s">
        <v>10</v>
      </c>
      <c r="J150" s="37" t="s">
        <v>10</v>
      </c>
      <c r="K150" s="37" t="s">
        <v>10</v>
      </c>
    </row>
    <row r="151" spans="1:11" ht="12.75">
      <c r="A151" s="13"/>
      <c r="B151" s="52" t="s">
        <v>23</v>
      </c>
      <c r="C151" s="52" t="s">
        <v>23</v>
      </c>
      <c r="D151" s="52" t="s">
        <v>23</v>
      </c>
      <c r="E151" s="52" t="s">
        <v>23</v>
      </c>
      <c r="F151" s="52" t="s">
        <v>23</v>
      </c>
      <c r="G151" s="52" t="s">
        <v>23</v>
      </c>
      <c r="H151" s="52" t="s">
        <v>23</v>
      </c>
      <c r="I151" s="52" t="s">
        <v>23</v>
      </c>
      <c r="J151" s="52" t="s">
        <v>23</v>
      </c>
      <c r="K151" s="52" t="s">
        <v>23</v>
      </c>
    </row>
    <row r="152" spans="1:11" ht="12.75">
      <c r="A152" s="7">
        <v>35</v>
      </c>
      <c r="B152" s="37">
        <v>0.9893</v>
      </c>
      <c r="C152" s="37">
        <v>1.051</v>
      </c>
      <c r="D152" s="37">
        <v>1</v>
      </c>
      <c r="E152" s="37">
        <v>1.0546</v>
      </c>
      <c r="F152" s="37">
        <v>0.9702</v>
      </c>
      <c r="G152" s="38">
        <v>0.9999</v>
      </c>
      <c r="H152" s="37">
        <v>1</v>
      </c>
      <c r="I152" s="37">
        <v>1.039</v>
      </c>
      <c r="J152" s="37">
        <v>1.0434</v>
      </c>
      <c r="K152" s="37">
        <v>0.9872</v>
      </c>
    </row>
    <row r="153" spans="1:13" ht="30.75" customHeight="1">
      <c r="A153" s="7"/>
      <c r="B153" s="53">
        <f>T100m/B152</f>
        <v>12.958657636712829</v>
      </c>
      <c r="C153" s="54">
        <f>TPituus/C152</f>
        <v>531.8744053282588</v>
      </c>
      <c r="D153" s="53">
        <f>TKuula/D152</f>
        <v>10.24</v>
      </c>
      <c r="E153" s="54">
        <f>TKorkeus/E152</f>
        <v>156.45742461596814</v>
      </c>
      <c r="F153" s="53">
        <f>T400m/F152</f>
        <v>59.317666460523604</v>
      </c>
      <c r="G153" s="55">
        <f>TAidat/G152</f>
        <v>18.251825182518253</v>
      </c>
      <c r="H153" s="53">
        <f>TKiekko/H152</f>
        <v>31.8</v>
      </c>
      <c r="I153" s="54">
        <f>TSeiväs/I152</f>
        <v>342.6371511068335</v>
      </c>
      <c r="J153" s="53">
        <f>TKeihäs/J152</f>
        <v>42.16982940387195</v>
      </c>
      <c r="K153" s="53">
        <f>T1500m/K152</f>
        <v>314.7285251215559</v>
      </c>
      <c r="M153" s="127"/>
    </row>
    <row r="154" spans="1:13" ht="18">
      <c r="A154" s="7">
        <v>40</v>
      </c>
      <c r="B154" s="37">
        <v>0.9545</v>
      </c>
      <c r="C154" s="37">
        <v>1.1112</v>
      </c>
      <c r="D154" s="37">
        <v>1.0271</v>
      </c>
      <c r="E154" s="37">
        <v>1.1059</v>
      </c>
      <c r="F154" s="37">
        <v>0.935</v>
      </c>
      <c r="G154" s="38">
        <v>0.9562</v>
      </c>
      <c r="H154" s="37">
        <v>1</v>
      </c>
      <c r="I154" s="37">
        <v>1.1046</v>
      </c>
      <c r="J154" s="37">
        <v>1.1283</v>
      </c>
      <c r="K154" s="37">
        <v>0.9387</v>
      </c>
      <c r="M154" s="130" t="s">
        <v>3</v>
      </c>
    </row>
    <row r="155" spans="1:11" ht="22.5" customHeight="1">
      <c r="A155" s="7"/>
      <c r="B155" s="53">
        <f>T100m/B154</f>
        <v>13.431115767417497</v>
      </c>
      <c r="C155" s="54">
        <f>TPituus/C154</f>
        <v>503.0597552195824</v>
      </c>
      <c r="D155" s="53">
        <f>TKuula/D154</f>
        <v>9.969817933988901</v>
      </c>
      <c r="E155" s="54">
        <f>TKorkeus/E154</f>
        <v>149.19974681255084</v>
      </c>
      <c r="F155" s="53">
        <f>T400m/F154</f>
        <v>61.55080213903743</v>
      </c>
      <c r="G155" s="55">
        <f>TAidat/G154</f>
        <v>19.085965279230287</v>
      </c>
      <c r="H155" s="53">
        <f>TKiekko/H154</f>
        <v>31.8</v>
      </c>
      <c r="I155" s="54">
        <f>TSeiväs/I154</f>
        <v>322.2886112619953</v>
      </c>
      <c r="J155" s="53">
        <f>TKeihäs/J154</f>
        <v>38.99672073030222</v>
      </c>
      <c r="K155" s="53">
        <f>T1500m/K154</f>
        <v>330.98966656013636</v>
      </c>
    </row>
    <row r="156" spans="1:11" ht="12.75">
      <c r="A156" s="7">
        <v>45</v>
      </c>
      <c r="B156" s="37">
        <v>0.922</v>
      </c>
      <c r="C156" s="37">
        <v>1.1787</v>
      </c>
      <c r="D156" s="37">
        <v>1.1131</v>
      </c>
      <c r="E156" s="37">
        <v>1.1624</v>
      </c>
      <c r="F156" s="37">
        <v>0.9023</v>
      </c>
      <c r="G156" s="38">
        <v>0.9168</v>
      </c>
      <c r="H156" s="37">
        <v>1.0499</v>
      </c>
      <c r="I156" s="37">
        <v>1.1791</v>
      </c>
      <c r="J156" s="37">
        <v>1.2283</v>
      </c>
      <c r="K156" s="37">
        <v>0.8947</v>
      </c>
    </row>
    <row r="157" spans="1:11" ht="30" customHeight="1">
      <c r="A157" s="7"/>
      <c r="B157" s="53">
        <f>T100m/B156</f>
        <v>13.904555314533622</v>
      </c>
      <c r="C157" s="54">
        <f>TPituus/C156</f>
        <v>474.2512937982523</v>
      </c>
      <c r="D157" s="53">
        <f>TKuula/D156</f>
        <v>9.199532836223161</v>
      </c>
      <c r="E157" s="54">
        <f>TKorkeus/E156</f>
        <v>141.9476944253269</v>
      </c>
      <c r="F157" s="53">
        <f>T400m/F156</f>
        <v>63.7814474121689</v>
      </c>
      <c r="G157" s="55">
        <f>TAidat/G156</f>
        <v>19.906195462478188</v>
      </c>
      <c r="H157" s="53">
        <f>TKiekko/H156</f>
        <v>30.2885989141823</v>
      </c>
      <c r="I157" s="54">
        <f>TSeiväs/I156</f>
        <v>301.9251971842931</v>
      </c>
      <c r="J157" s="53">
        <f>TKeihäs/J156</f>
        <v>35.821867621916475</v>
      </c>
      <c r="K157" s="53">
        <f>T1500m/K156</f>
        <v>347.26724041578177</v>
      </c>
    </row>
    <row r="158" spans="1:11" ht="18" customHeight="1">
      <c r="A158" s="7">
        <v>50</v>
      </c>
      <c r="B158" s="37">
        <v>0.8917</v>
      </c>
      <c r="C158" s="37">
        <v>1.2549</v>
      </c>
      <c r="D158" s="37">
        <v>1.1468</v>
      </c>
      <c r="E158" s="37">
        <v>1.225</v>
      </c>
      <c r="F158" s="37">
        <v>0.8718</v>
      </c>
      <c r="G158" s="38">
        <v>0.9745</v>
      </c>
      <c r="H158" s="37">
        <v>1</v>
      </c>
      <c r="I158" s="37">
        <v>1.2643</v>
      </c>
      <c r="J158" s="37">
        <v>1.279</v>
      </c>
      <c r="K158" s="37">
        <v>0.8547</v>
      </c>
    </row>
    <row r="159" spans="1:11" ht="24" customHeight="1">
      <c r="A159" s="7"/>
      <c r="B159" s="53">
        <f>T100m/B158</f>
        <v>14.377032634294045</v>
      </c>
      <c r="C159" s="54">
        <f>TPituus/C158</f>
        <v>445.4538210215954</v>
      </c>
      <c r="D159" s="53">
        <f>TKuula/D158</f>
        <v>8.929194279734915</v>
      </c>
      <c r="E159" s="54">
        <f>TKorkeus/E158</f>
        <v>134.6938775510204</v>
      </c>
      <c r="F159" s="53">
        <f>T400m/F158</f>
        <v>66.01284698325304</v>
      </c>
      <c r="G159" s="55">
        <f>TAidat/G158</f>
        <v>18.727552591072346</v>
      </c>
      <c r="H159" s="53">
        <f>TKiekko/H158</f>
        <v>31.8</v>
      </c>
      <c r="I159" s="54">
        <f>TSeiväs/I158</f>
        <v>281.5787392232856</v>
      </c>
      <c r="J159" s="53">
        <f>TKeihäs/J158</f>
        <v>34.401876465989055</v>
      </c>
      <c r="K159" s="53">
        <f>T1500m/K158</f>
        <v>363.5193635193635</v>
      </c>
    </row>
    <row r="160" spans="1:11" ht="12.75">
      <c r="A160" s="7">
        <v>55</v>
      </c>
      <c r="B160" s="37">
        <v>0.8633</v>
      </c>
      <c r="C160" s="37">
        <v>1.3417</v>
      </c>
      <c r="D160" s="37">
        <v>1.2736</v>
      </c>
      <c r="E160" s="37">
        <v>1.2947</v>
      </c>
      <c r="F160" s="37">
        <v>0.8433</v>
      </c>
      <c r="G160" s="38">
        <v>0.9085</v>
      </c>
      <c r="H160" s="37">
        <v>1.0984</v>
      </c>
      <c r="I160" s="37">
        <v>1.3628</v>
      </c>
      <c r="J160" s="37">
        <v>1.4059</v>
      </c>
      <c r="K160" s="37">
        <v>0.8181</v>
      </c>
    </row>
    <row r="161" spans="1:11" ht="16.5" customHeight="1">
      <c r="A161" s="7"/>
      <c r="B161" s="53">
        <f>T100m/B160</f>
        <v>14.84999420827059</v>
      </c>
      <c r="C161" s="54">
        <f>TPituus/C160</f>
        <v>416.63561153760156</v>
      </c>
      <c r="D161" s="53">
        <f>TKuula/D160</f>
        <v>8.040201005025125</v>
      </c>
      <c r="E161" s="54">
        <f>TKorkeus/E160</f>
        <v>127.44265080713679</v>
      </c>
      <c r="F161" s="53">
        <f>T400m/F160</f>
        <v>68.24380410292896</v>
      </c>
      <c r="G161" s="55">
        <f>TAidat/G160</f>
        <v>20.088057237204183</v>
      </c>
      <c r="H161" s="53">
        <f>TKiekko/H160</f>
        <v>28.951201747997086</v>
      </c>
      <c r="I161" s="54">
        <f>TSeiväs/I160</f>
        <v>261.22688582330494</v>
      </c>
      <c r="J161" s="53">
        <f>TKeihäs/J160</f>
        <v>31.296678284373</v>
      </c>
      <c r="K161" s="53">
        <f>T1500m/K160</f>
        <v>379.78242268671306</v>
      </c>
    </row>
    <row r="162" spans="1:11" ht="12.75">
      <c r="A162" s="7">
        <v>60</v>
      </c>
      <c r="B162" s="37">
        <v>0.8367</v>
      </c>
      <c r="C162" s="37">
        <v>1.4414</v>
      </c>
      <c r="D162" s="37">
        <v>1.2703</v>
      </c>
      <c r="E162" s="37">
        <v>1.3728</v>
      </c>
      <c r="F162" s="37">
        <v>0.8166</v>
      </c>
      <c r="G162" s="38">
        <v>0.9017</v>
      </c>
      <c r="H162" s="37">
        <v>1.1232</v>
      </c>
      <c r="I162" s="37">
        <v>1.478</v>
      </c>
      <c r="J162" s="37">
        <v>1.4804</v>
      </c>
      <c r="K162" s="37">
        <v>0.7845</v>
      </c>
    </row>
    <row r="163" spans="1:11" ht="24" customHeight="1">
      <c r="A163" s="7"/>
      <c r="B163" s="53">
        <f>T100m/B162</f>
        <v>15.322098721166487</v>
      </c>
      <c r="C163" s="54">
        <f>TPituus/C162</f>
        <v>387.8173997502428</v>
      </c>
      <c r="D163" s="53">
        <f>TKuula/D162</f>
        <v>8.06108793198457</v>
      </c>
      <c r="E163" s="54">
        <f>TKorkeus/E162</f>
        <v>120.1923076923077</v>
      </c>
      <c r="F163" s="53">
        <f>T400m/F162</f>
        <v>70.47514082782267</v>
      </c>
      <c r="G163" s="55">
        <f>TAidat/G162</f>
        <v>20.239547521348566</v>
      </c>
      <c r="H163" s="53">
        <f>TKiekko/H162</f>
        <v>28.311965811965813</v>
      </c>
      <c r="I163" s="54">
        <f>TSeiväs/I162</f>
        <v>240.8660351826793</v>
      </c>
      <c r="J163" s="53">
        <f>TKeihäs/J162</f>
        <v>29.721696838692246</v>
      </c>
      <c r="K163" s="53">
        <f>T1500m/K162</f>
        <v>396.0484384958572</v>
      </c>
    </row>
    <row r="164" spans="1:11" ht="12.75">
      <c r="A164" s="7">
        <v>65</v>
      </c>
      <c r="B164" s="37">
        <v>0.8117</v>
      </c>
      <c r="C164" s="37">
        <v>1.557</v>
      </c>
      <c r="D164" s="37">
        <v>1.4719</v>
      </c>
      <c r="E164" s="37">
        <v>1.461</v>
      </c>
      <c r="F164" s="37">
        <v>0.7916</v>
      </c>
      <c r="G164" s="38">
        <v>0.8326</v>
      </c>
      <c r="H164" s="37">
        <v>1.2514</v>
      </c>
      <c r="I164" s="37">
        <v>1.6144</v>
      </c>
      <c r="J164" s="37">
        <v>1.6496</v>
      </c>
      <c r="K164" s="37">
        <v>0.7536</v>
      </c>
    </row>
    <row r="165" spans="1:11" ht="20.25" customHeight="1">
      <c r="A165" s="7"/>
      <c r="B165" s="53">
        <f>T100m/B164</f>
        <v>15.794012566219047</v>
      </c>
      <c r="C165" s="54">
        <f>TPituus/C164</f>
        <v>359.0237636480411</v>
      </c>
      <c r="D165" s="53">
        <f>TKuula/D164</f>
        <v>6.956994361029961</v>
      </c>
      <c r="E165" s="54">
        <f>TKorkeus/E164</f>
        <v>112.93634496919917</v>
      </c>
      <c r="F165" s="53">
        <f>T400m/F164</f>
        <v>72.70085901970693</v>
      </c>
      <c r="G165" s="55">
        <f>TAidat/G164</f>
        <v>21.91928897429738</v>
      </c>
      <c r="H165" s="53">
        <f>TKiekko/H164</f>
        <v>25.411539076234618</v>
      </c>
      <c r="I165" s="54">
        <f>TSeiväs/I164</f>
        <v>220.5153617443013</v>
      </c>
      <c r="J165" s="53">
        <f>TKeihäs/J164</f>
        <v>26.67313288069835</v>
      </c>
      <c r="K165" s="53">
        <f>T1500m/K164</f>
        <v>412.2876857749469</v>
      </c>
    </row>
    <row r="166" spans="1:13" ht="12.75">
      <c r="A166" s="7">
        <v>70</v>
      </c>
      <c r="B166" s="37">
        <v>0.7881</v>
      </c>
      <c r="C166" s="37">
        <v>1.6929</v>
      </c>
      <c r="D166" s="37">
        <v>1.3017</v>
      </c>
      <c r="E166" s="37">
        <v>1.5613</v>
      </c>
      <c r="F166" s="37">
        <v>0.7319</v>
      </c>
      <c r="G166" s="38">
        <v>0.9938</v>
      </c>
      <c r="H166" s="37">
        <v>1.4127</v>
      </c>
      <c r="I166" s="37">
        <v>1.7786</v>
      </c>
      <c r="J166" s="37">
        <v>1.7461</v>
      </c>
      <c r="K166" s="37">
        <v>0.723</v>
      </c>
      <c r="M166" s="131" t="s">
        <v>11</v>
      </c>
    </row>
    <row r="167" spans="1:11" ht="18.75" customHeight="1">
      <c r="A167" s="7"/>
      <c r="B167" s="53">
        <f>T100m/B166</f>
        <v>16.26697119654866</v>
      </c>
      <c r="C167" s="54">
        <f>TPituus/C166</f>
        <v>330.20261090436526</v>
      </c>
      <c r="D167" s="53">
        <f>TKuula/D166</f>
        <v>7.866635937620035</v>
      </c>
      <c r="E167" s="54">
        <f>TKorkeus/E166</f>
        <v>105.68116313328638</v>
      </c>
      <c r="F167" s="53">
        <f>T400m/F166</f>
        <v>78.63096051373138</v>
      </c>
      <c r="G167" s="55">
        <f>TAidat/G166</f>
        <v>18.36385590662105</v>
      </c>
      <c r="H167" s="53">
        <f>TKiekko/H166</f>
        <v>22.5100870673179</v>
      </c>
      <c r="I167" s="54">
        <f>TSeiväs/I166</f>
        <v>200.15742718992468</v>
      </c>
      <c r="J167" s="53">
        <f>TKeihäs/J166</f>
        <v>25.199014947597504</v>
      </c>
      <c r="K167" s="53">
        <f>T1500m/K166</f>
        <v>429.7372060857538</v>
      </c>
    </row>
    <row r="168" spans="1:11" ht="12.75">
      <c r="A168" s="7">
        <v>75</v>
      </c>
      <c r="B168" s="37">
        <v>0.7417</v>
      </c>
      <c r="C168" s="37">
        <v>1.8546</v>
      </c>
      <c r="D168" s="37">
        <v>1.5043</v>
      </c>
      <c r="E168" s="37">
        <v>1.6763</v>
      </c>
      <c r="F168" s="37">
        <v>0.6643</v>
      </c>
      <c r="G168" s="38">
        <v>0.9437</v>
      </c>
      <c r="H168" s="37">
        <v>1.6217</v>
      </c>
      <c r="I168" s="37">
        <v>1.98</v>
      </c>
      <c r="J168" s="37">
        <v>2.0098</v>
      </c>
      <c r="K168" s="37">
        <v>0.6686</v>
      </c>
    </row>
    <row r="169" spans="1:11" ht="18.75" customHeight="1">
      <c r="A169" s="7"/>
      <c r="B169" s="53">
        <f>T100m/B168</f>
        <v>17.284616421733855</v>
      </c>
      <c r="C169" s="54">
        <f>TPituus/C168</f>
        <v>301.4127035479349</v>
      </c>
      <c r="D169" s="53">
        <f>TKuula/D168</f>
        <v>6.8071528285581335</v>
      </c>
      <c r="E169" s="54">
        <f>TKorkeus/E168</f>
        <v>98.43106842450636</v>
      </c>
      <c r="F169" s="53">
        <f>T400m/F168</f>
        <v>86.63254553665512</v>
      </c>
      <c r="G169" s="55">
        <f>TAidat/G168</f>
        <v>19.338772915121332</v>
      </c>
      <c r="H169" s="53">
        <f>TKiekko/H168</f>
        <v>19.60905222914226</v>
      </c>
      <c r="I169" s="54">
        <f>TSeiväs/I168</f>
        <v>179.7979797979798</v>
      </c>
      <c r="J169" s="53">
        <f>TKeihäs/J168</f>
        <v>21.892725644342722</v>
      </c>
      <c r="K169" s="53">
        <f>T1500m/K168</f>
        <v>464.70236314687406</v>
      </c>
    </row>
    <row r="170" spans="1:11" ht="12.75">
      <c r="A170" s="7">
        <v>80</v>
      </c>
      <c r="B170" s="37">
        <v>0.6894</v>
      </c>
      <c r="C170" s="37">
        <v>2.0506</v>
      </c>
      <c r="D170" s="37">
        <v>1.7816</v>
      </c>
      <c r="E170" s="37">
        <v>1.8097</v>
      </c>
      <c r="F170" s="37">
        <v>0.6082</v>
      </c>
      <c r="G170" s="38">
        <v>0.8607</v>
      </c>
      <c r="H170" s="37">
        <v>1.9033</v>
      </c>
      <c r="I170" s="37">
        <v>2.2327</v>
      </c>
      <c r="J170" s="37">
        <v>2.0612</v>
      </c>
      <c r="K170" s="37">
        <v>0.6236</v>
      </c>
    </row>
    <row r="171" spans="1:11" ht="20.25" customHeight="1">
      <c r="A171" s="7"/>
      <c r="B171" s="53">
        <f>T100m/B170</f>
        <v>18.59588047577604</v>
      </c>
      <c r="C171" s="54">
        <f>TPituus/C170</f>
        <v>272.60314054423094</v>
      </c>
      <c r="D171" s="53">
        <f>TKuula/D170</f>
        <v>5.747642568477772</v>
      </c>
      <c r="E171" s="54">
        <f>TKorkeus/E170</f>
        <v>91.17533292810963</v>
      </c>
      <c r="F171" s="53">
        <f>T400m/F170</f>
        <v>94.62347911871095</v>
      </c>
      <c r="G171" s="55">
        <f>TAidat/G170</f>
        <v>21.203671430231207</v>
      </c>
      <c r="H171" s="53">
        <f>TKiekko/H170</f>
        <v>16.707823254347712</v>
      </c>
      <c r="I171" s="54">
        <f>TSeiväs/I170</f>
        <v>159.4482017288485</v>
      </c>
      <c r="J171" s="53">
        <f>TKeihäs/J170</f>
        <v>21.34678827867262</v>
      </c>
      <c r="K171" s="53">
        <f>T1500m/K170</f>
        <v>498.2360487491982</v>
      </c>
    </row>
    <row r="172" spans="1:11" ht="12.75">
      <c r="A172" s="7">
        <v>85</v>
      </c>
      <c r="B172" s="37">
        <v>0.6316</v>
      </c>
      <c r="C172" s="37">
        <v>2.3553</v>
      </c>
      <c r="D172" s="37">
        <v>2.1843</v>
      </c>
      <c r="E172" s="37">
        <v>1.966</v>
      </c>
      <c r="F172" s="37">
        <v>0.5266</v>
      </c>
      <c r="G172" s="38">
        <v>0.7377</v>
      </c>
      <c r="H172" s="37">
        <v>2.3034</v>
      </c>
      <c r="I172" s="37">
        <v>2.5595</v>
      </c>
      <c r="J172" s="37">
        <v>2.6164</v>
      </c>
      <c r="K172" s="37">
        <v>0.5483</v>
      </c>
    </row>
    <row r="173" spans="1:11" ht="20.25" customHeight="1">
      <c r="A173" s="7"/>
      <c r="B173" s="53">
        <f>T100m/B172</f>
        <v>20.29765674477517</v>
      </c>
      <c r="C173" s="54">
        <f>TPituus/C172</f>
        <v>237.33706958773828</v>
      </c>
      <c r="D173" s="53">
        <f>TKuula/D172</f>
        <v>4.6880007325001145</v>
      </c>
      <c r="E173" s="54">
        <f>TKorkeus/E172</f>
        <v>83.92675483214649</v>
      </c>
      <c r="F173" s="53">
        <f>T400m/F172</f>
        <v>109.28598556779339</v>
      </c>
      <c r="G173" s="55">
        <f>TAidat/G172</f>
        <v>24.73905381591433</v>
      </c>
      <c r="H173" s="53">
        <f>TKiekko/H172</f>
        <v>13.805678562125555</v>
      </c>
      <c r="I173" s="54">
        <f>TSeiväs/I172</f>
        <v>139.08966595038095</v>
      </c>
      <c r="J173" s="53">
        <f>TKeihäs/J172</f>
        <v>16.817000458645467</v>
      </c>
      <c r="K173" s="53">
        <f>T1500m/K172</f>
        <v>566.6605872697428</v>
      </c>
    </row>
    <row r="174" spans="1:11" ht="12.75">
      <c r="A174" s="7">
        <v>90</v>
      </c>
      <c r="B174" s="37">
        <v>0.5759</v>
      </c>
      <c r="C174" s="37">
        <v>3.0442</v>
      </c>
      <c r="D174" s="37">
        <v>2.8222</v>
      </c>
      <c r="E174" s="37">
        <v>2.2072</v>
      </c>
      <c r="F174" s="37">
        <v>0.4362</v>
      </c>
      <c r="G174" s="38">
        <v>0.6148</v>
      </c>
      <c r="H174" s="37">
        <v>2.9162</v>
      </c>
      <c r="I174" s="37">
        <v>3.07</v>
      </c>
      <c r="J174" s="37">
        <v>3.5811</v>
      </c>
      <c r="K174" s="37">
        <v>0.4416</v>
      </c>
    </row>
    <row r="175" spans="1:11" ht="21" customHeight="1">
      <c r="A175" s="7"/>
      <c r="B175" s="53">
        <f>T100m/B174</f>
        <v>22.26080916825838</v>
      </c>
      <c r="C175" s="54">
        <f>TPituus/C174</f>
        <v>183.62788253071415</v>
      </c>
      <c r="D175" s="53">
        <f>TKuula/D174</f>
        <v>3.6283750265750125</v>
      </c>
      <c r="E175" s="54">
        <f>TKorkeus/E174</f>
        <v>74.75534613990577</v>
      </c>
      <c r="F175" s="53">
        <f>T400m/F174</f>
        <v>131.9348922512609</v>
      </c>
      <c r="G175" s="55">
        <f>TAidat/G174</f>
        <v>29.68445022771633</v>
      </c>
      <c r="H175" s="53">
        <f>TKiekko/H174</f>
        <v>10.90460187915781</v>
      </c>
      <c r="I175" s="54">
        <f>TSeiväs/I174</f>
        <v>115.96091205211727</v>
      </c>
      <c r="J175" s="53">
        <f>TKeihäs/J174</f>
        <v>12.28672754181676</v>
      </c>
      <c r="K175" s="53">
        <f>T1500m/K174</f>
        <v>703.5778985507246</v>
      </c>
    </row>
    <row r="176" spans="1:11" ht="12.75">
      <c r="A176" s="7">
        <v>95</v>
      </c>
      <c r="B176" s="37">
        <v>0.4925</v>
      </c>
      <c r="C176" s="37">
        <v>4.6134</v>
      </c>
      <c r="D176" s="37">
        <v>3.9862</v>
      </c>
      <c r="E176" s="37">
        <v>2.663</v>
      </c>
      <c r="F176" s="37">
        <v>0.3185</v>
      </c>
      <c r="G176" s="38">
        <v>0.4781</v>
      </c>
      <c r="H176" s="37">
        <v>3.9735</v>
      </c>
      <c r="I176" s="37">
        <v>4.0933</v>
      </c>
      <c r="J176" s="37">
        <v>5.6724</v>
      </c>
      <c r="K176" s="37">
        <v>0.3179</v>
      </c>
    </row>
    <row r="177" spans="1:11" ht="21" customHeight="1">
      <c r="A177" s="7"/>
      <c r="B177" s="53">
        <f>T100m/B176</f>
        <v>26.03045685279188</v>
      </c>
      <c r="C177" s="54">
        <f>TPituus/C176</f>
        <v>121.16876923743875</v>
      </c>
      <c r="D177" s="53">
        <f>TKuula/D176</f>
        <v>2.5688625758868096</v>
      </c>
      <c r="E177" s="54">
        <f>TKorkeus/E176</f>
        <v>61.96019526849418</v>
      </c>
      <c r="F177" s="53">
        <f>T400m/F176</f>
        <v>180.69073783359497</v>
      </c>
      <c r="G177" s="55">
        <f>TAidat/G176</f>
        <v>38.17193055846057</v>
      </c>
      <c r="H177" s="53">
        <f>TKiekko/H176</f>
        <v>8.003020007550019</v>
      </c>
      <c r="I177" s="54">
        <f>TSeiväs/I176</f>
        <v>86.97139227518139</v>
      </c>
      <c r="J177" s="53">
        <f>TKeihäs/J176</f>
        <v>7.756857767435301</v>
      </c>
      <c r="K177" s="53">
        <f>T1500m/K176</f>
        <v>977.3513683548284</v>
      </c>
    </row>
    <row r="178" spans="1:11" ht="12.75">
      <c r="A178" s="8" t="s">
        <v>2</v>
      </c>
      <c r="B178" s="37">
        <v>0.2417</v>
      </c>
      <c r="C178" s="37">
        <v>11.9333</v>
      </c>
      <c r="D178" s="37">
        <v>6.7847</v>
      </c>
      <c r="E178" s="37">
        <v>3.5</v>
      </c>
      <c r="F178" s="37">
        <v>0.2417</v>
      </c>
      <c r="G178" s="38">
        <v>0.3228</v>
      </c>
      <c r="H178" s="37">
        <v>6.2333</v>
      </c>
      <c r="I178" s="37">
        <v>6.14</v>
      </c>
      <c r="J178" s="37">
        <v>13.6357</v>
      </c>
      <c r="K178" s="37">
        <v>0.2417</v>
      </c>
    </row>
    <row r="179" spans="2:11" ht="20.25" customHeight="1">
      <c r="B179" s="53">
        <f>T100m/B178</f>
        <v>53.04095986760447</v>
      </c>
      <c r="C179" s="54">
        <f>TPituus/C178</f>
        <v>46.843706267335946</v>
      </c>
      <c r="D179" s="53">
        <f>TKuula/D178</f>
        <v>1.5092782289563282</v>
      </c>
      <c r="E179" s="54">
        <f>TKorkeus/E178</f>
        <v>47.142857142857146</v>
      </c>
      <c r="F179" s="53">
        <f>T400m/F178</f>
        <v>238.10508895324782</v>
      </c>
      <c r="G179" s="55">
        <f>TAidat/G178</f>
        <v>56.536555142503104</v>
      </c>
      <c r="H179" s="53">
        <f>TKiekko/H178</f>
        <v>5.101631559527057</v>
      </c>
      <c r="I179" s="54">
        <f>TSeiväs/I178</f>
        <v>57.98045602605863</v>
      </c>
      <c r="J179" s="53">
        <f>TKeihäs/J178</f>
        <v>3.2268237054203306</v>
      </c>
      <c r="K179" s="53">
        <f>T1500m/K178</f>
        <v>1285.477865122052</v>
      </c>
    </row>
    <row r="180" spans="2:11" ht="12.75">
      <c r="B180" s="32"/>
      <c r="C180" s="10"/>
      <c r="D180" s="9"/>
      <c r="E180" s="10"/>
      <c r="F180" s="9"/>
      <c r="G180" s="11"/>
      <c r="H180" s="9"/>
      <c r="I180" s="10"/>
      <c r="J180" s="9"/>
      <c r="K180" s="9"/>
    </row>
    <row r="181" spans="2:11" ht="12.75">
      <c r="B181" s="98"/>
      <c r="C181" s="10"/>
      <c r="D181" s="9"/>
      <c r="E181" s="10"/>
      <c r="F181" s="9"/>
      <c r="G181" s="11"/>
      <c r="H181" s="9"/>
      <c r="I181" s="10"/>
      <c r="J181" s="9"/>
      <c r="K181" s="9"/>
    </row>
    <row r="182" spans="2:11" ht="12.75">
      <c r="B182" s="98"/>
      <c r="C182" s="10"/>
      <c r="D182" s="9"/>
      <c r="E182" s="10"/>
      <c r="F182" s="9"/>
      <c r="G182" s="11"/>
      <c r="H182" s="9"/>
      <c r="I182" s="10"/>
      <c r="J182" s="9"/>
      <c r="K182" s="9"/>
    </row>
    <row r="183" ht="19.5" customHeight="1"/>
    <row r="184" spans="2:11" ht="18">
      <c r="B184" s="29"/>
      <c r="C184" s="5"/>
      <c r="D184" s="5"/>
      <c r="E184" s="5"/>
      <c r="F184" s="5"/>
      <c r="G184" s="5"/>
      <c r="H184" s="5"/>
      <c r="I184" s="5"/>
      <c r="J184" s="5"/>
      <c r="K184" s="14"/>
    </row>
    <row r="185" spans="1:11" ht="20.25" customHeight="1">
      <c r="A185" s="6"/>
      <c r="B185" s="30"/>
      <c r="C185" s="3"/>
      <c r="D185" s="2"/>
      <c r="E185" s="3"/>
      <c r="F185" s="2"/>
      <c r="G185" s="2"/>
      <c r="H185" s="2"/>
      <c r="I185" s="3"/>
      <c r="J185" s="2"/>
      <c r="K185" s="15"/>
    </row>
    <row r="186" spans="1:11" ht="15">
      <c r="A186" s="97"/>
      <c r="B186" s="31"/>
      <c r="C186" s="4"/>
      <c r="D186" s="4"/>
      <c r="E186" s="4"/>
      <c r="F186" s="4"/>
      <c r="G186" s="4"/>
      <c r="H186" s="4"/>
      <c r="I186" s="4"/>
      <c r="J186" s="4"/>
      <c r="K186" s="16"/>
    </row>
    <row r="187" spans="1:11" ht="15">
      <c r="A187" s="6"/>
      <c r="B187" s="30"/>
      <c r="C187" s="3"/>
      <c r="D187" s="2"/>
      <c r="E187" s="3"/>
      <c r="F187" s="2"/>
      <c r="G187" s="2"/>
      <c r="H187" s="2"/>
      <c r="I187" s="3"/>
      <c r="J187" s="2"/>
      <c r="K187" s="15"/>
    </row>
    <row r="188" spans="1:11" ht="15">
      <c r="A188" s="97"/>
      <c r="B188" s="31"/>
      <c r="C188" s="4"/>
      <c r="D188" s="4"/>
      <c r="E188" s="4"/>
      <c r="F188" s="4"/>
      <c r="G188" s="4"/>
      <c r="H188" s="4"/>
      <c r="I188" s="4"/>
      <c r="J188" s="4"/>
      <c r="K188" s="16"/>
    </row>
    <row r="192" ht="12.75">
      <c r="F192" s="5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7" t="s">
        <v>21</v>
      </c>
      <c r="B2" s="18"/>
      <c r="C2" s="19"/>
      <c r="D2" s="19"/>
      <c r="E2" s="19"/>
      <c r="F2" s="19"/>
      <c r="G2" s="19" t="s">
        <v>27</v>
      </c>
      <c r="H2" s="19"/>
      <c r="I2" s="19"/>
      <c r="J2" s="19"/>
    </row>
    <row r="3" spans="1:10" ht="12.75">
      <c r="A3" s="21"/>
      <c r="B3" s="22"/>
      <c r="C3" s="23"/>
      <c r="D3" s="23" t="s">
        <v>12</v>
      </c>
      <c r="E3" s="23"/>
      <c r="F3" s="23"/>
      <c r="G3" s="23" t="s">
        <v>24</v>
      </c>
      <c r="H3" s="23" t="s">
        <v>15</v>
      </c>
      <c r="I3" s="23"/>
      <c r="J3" s="23" t="s">
        <v>17</v>
      </c>
    </row>
    <row r="4" spans="1:10" ht="12.75">
      <c r="A4" s="21"/>
      <c r="B4" s="22"/>
      <c r="C4" s="23"/>
      <c r="D4" s="25" t="s">
        <v>13</v>
      </c>
      <c r="E4" s="23"/>
      <c r="F4" s="23"/>
      <c r="G4" s="23" t="s">
        <v>25</v>
      </c>
      <c r="H4" s="23" t="s">
        <v>16</v>
      </c>
      <c r="I4" s="23"/>
      <c r="J4" s="23" t="s">
        <v>18</v>
      </c>
    </row>
    <row r="5" spans="1:10" ht="12.75">
      <c r="A5" s="21"/>
      <c r="B5" s="22"/>
      <c r="C5" s="23"/>
      <c r="D5" s="23" t="s">
        <v>14</v>
      </c>
      <c r="E5" s="23"/>
      <c r="F5" s="23"/>
      <c r="G5" s="25" t="s">
        <v>26</v>
      </c>
      <c r="H5" s="23"/>
      <c r="I5" s="23"/>
      <c r="J5" s="23" t="s">
        <v>19</v>
      </c>
    </row>
    <row r="6" spans="1:10" ht="12.75">
      <c r="A6" s="26"/>
      <c r="B6" s="158" t="s">
        <v>111</v>
      </c>
      <c r="C6" s="27"/>
      <c r="D6" s="27"/>
      <c r="E6" s="27"/>
      <c r="F6" s="27"/>
      <c r="G6" s="27"/>
      <c r="H6" s="27"/>
      <c r="I6" s="27"/>
      <c r="J6" s="27" t="s">
        <v>20</v>
      </c>
    </row>
    <row r="7" spans="2:13" ht="32.25" customHeight="1">
      <c r="B7" s="43" t="s">
        <v>5</v>
      </c>
      <c r="C7" s="40" t="s">
        <v>1</v>
      </c>
      <c r="D7" s="40" t="s">
        <v>107</v>
      </c>
      <c r="E7" s="40" t="s">
        <v>0</v>
      </c>
      <c r="F7" s="40" t="s">
        <v>6</v>
      </c>
      <c r="G7" s="40" t="s">
        <v>108</v>
      </c>
      <c r="H7" s="40" t="s">
        <v>109</v>
      </c>
      <c r="I7" s="40" t="s">
        <v>7</v>
      </c>
      <c r="J7" s="40" t="s">
        <v>110</v>
      </c>
      <c r="K7" s="40" t="s">
        <v>4</v>
      </c>
      <c r="M7" s="5" t="s">
        <v>3</v>
      </c>
    </row>
    <row r="8" spans="1:13" ht="18">
      <c r="A8" t="s">
        <v>32</v>
      </c>
      <c r="B8" s="44">
        <v>14.4</v>
      </c>
      <c r="C8" s="42">
        <v>423</v>
      </c>
      <c r="D8" s="41">
        <v>8</v>
      </c>
      <c r="E8" s="42">
        <v>130</v>
      </c>
      <c r="F8" s="41">
        <v>69.9</v>
      </c>
      <c r="G8" s="41">
        <v>19.72</v>
      </c>
      <c r="H8" s="41">
        <v>21</v>
      </c>
      <c r="I8" s="42">
        <v>250</v>
      </c>
      <c r="J8" s="41">
        <v>29</v>
      </c>
      <c r="K8" s="41">
        <v>343.7</v>
      </c>
      <c r="L8" s="56" t="s">
        <v>29</v>
      </c>
      <c r="M8" s="5"/>
    </row>
    <row r="9" spans="1:13" s="62" customFormat="1" ht="18.75" thickBot="1">
      <c r="A9" s="83" t="s">
        <v>8</v>
      </c>
      <c r="B9" s="84">
        <f>TRUNC(25.4347*(18-B40)^1.81)</f>
        <v>569</v>
      </c>
      <c r="C9" s="85">
        <f>TRUNC(0.14354*(C40-220)^1.4)</f>
        <v>518</v>
      </c>
      <c r="D9" s="85">
        <f>TRUNC(51.39*(D40-1.5)^1.05)</f>
        <v>497</v>
      </c>
      <c r="E9" s="85">
        <f>TRUNC(0.84565*(E40-75)^1.42)</f>
        <v>530</v>
      </c>
      <c r="F9" s="85">
        <f>TRUNC(1.53775*(82-F40)^1.81)</f>
        <v>450</v>
      </c>
      <c r="G9" s="85">
        <f>TRUNC(5.74352*(28.5-G40)^1.92)</f>
        <v>532</v>
      </c>
      <c r="H9" s="85">
        <f>TRUNC(12.91*(H40-4)^1.1)</f>
        <v>330</v>
      </c>
      <c r="I9" s="85">
        <f>TRUNC(0.2797*(I40-100)^1.35)</f>
        <v>458</v>
      </c>
      <c r="J9" s="85">
        <f>TRUNC(10.14*(J40-7)^1.08)</f>
        <v>453</v>
      </c>
      <c r="K9" s="85">
        <f>TRUNC(0.03768*(480-K40)^1.85)</f>
        <v>673</v>
      </c>
      <c r="M9" s="63">
        <f>SUM(B9:K9)</f>
        <v>5010</v>
      </c>
    </row>
    <row r="10" spans="1:13" ht="18.75" thickTop="1">
      <c r="A10" t="s">
        <v>33</v>
      </c>
      <c r="B10" s="44">
        <v>13.9</v>
      </c>
      <c r="C10" s="42">
        <v>406</v>
      </c>
      <c r="D10" s="41">
        <v>7</v>
      </c>
      <c r="E10" s="42">
        <v>125</v>
      </c>
      <c r="F10" s="41">
        <v>68.5</v>
      </c>
      <c r="G10" s="41">
        <v>19.9</v>
      </c>
      <c r="H10" s="41">
        <v>17</v>
      </c>
      <c r="I10" s="42">
        <v>230</v>
      </c>
      <c r="J10" s="41">
        <v>28.8</v>
      </c>
      <c r="K10" s="41">
        <v>343.2</v>
      </c>
      <c r="L10" s="56" t="s">
        <v>35</v>
      </c>
      <c r="M10" s="5"/>
    </row>
    <row r="11" spans="1:13" s="62" customFormat="1" ht="18.75" thickBot="1">
      <c r="A11" s="83" t="s">
        <v>8</v>
      </c>
      <c r="B11" s="60">
        <f>TRUNC(25.4347*(18-B42)^1.81)</f>
        <v>651</v>
      </c>
      <c r="C11" s="61">
        <f>TRUNC(0.14354*(C42-220)^1.4)</f>
        <v>471</v>
      </c>
      <c r="D11" s="61">
        <f>TRUNC(51.39*(D42-1.5)^1.05)</f>
        <v>421</v>
      </c>
      <c r="E11" s="61">
        <f>TRUNC(0.84565*(E42-75)^1.42)</f>
        <v>478</v>
      </c>
      <c r="F11" s="61">
        <f>TRUNC(1.53775*(82-F42)^1.81)</f>
        <v>492</v>
      </c>
      <c r="G11" s="61">
        <f>TRUNC(5.74352*(28.5-G42)^1.92)</f>
        <v>517</v>
      </c>
      <c r="H11" s="61">
        <f>TRUNC(12.91*(H42-4)^1.1)</f>
        <v>247</v>
      </c>
      <c r="I11" s="61">
        <f>TRUNC(0.2797*(I42-100)^1.35)</f>
        <v>390</v>
      </c>
      <c r="J11" s="61">
        <f>TRUNC(10.14*(J42-7)^1.08)</f>
        <v>449</v>
      </c>
      <c r="K11" s="61">
        <f>TRUNC(0.03768*(480-K42)^1.85)</f>
        <v>675</v>
      </c>
      <c r="M11" s="63">
        <f>SUM(B11:K11)</f>
        <v>4791</v>
      </c>
    </row>
    <row r="12" spans="1:13" ht="18.75" thickTop="1">
      <c r="A12" t="s">
        <v>36</v>
      </c>
      <c r="B12" s="44">
        <v>14.4</v>
      </c>
      <c r="C12" s="42">
        <v>384</v>
      </c>
      <c r="D12" s="41">
        <v>7.7</v>
      </c>
      <c r="E12" s="42">
        <v>130</v>
      </c>
      <c r="F12" s="41">
        <v>72.7</v>
      </c>
      <c r="G12" s="41">
        <v>21.4</v>
      </c>
      <c r="H12" s="41">
        <v>18</v>
      </c>
      <c r="I12" s="42">
        <v>210</v>
      </c>
      <c r="J12" s="41">
        <v>21.5</v>
      </c>
      <c r="K12" s="41">
        <v>377.1</v>
      </c>
      <c r="L12" s="56" t="s">
        <v>37</v>
      </c>
      <c r="M12" s="5"/>
    </row>
    <row r="13" spans="1:13" s="62" customFormat="1" ht="18.75" thickBot="1">
      <c r="A13" s="83" t="s">
        <v>8</v>
      </c>
      <c r="B13" s="60">
        <f>TRUNC(25.4347*(18-B44)^1.81)</f>
        <v>569</v>
      </c>
      <c r="C13" s="61">
        <f>TRUNC(0.14354*(C44-220)^1.4)</f>
        <v>412</v>
      </c>
      <c r="D13" s="61">
        <f>TRUNC(51.39*(D44-1.5)^1.05)</f>
        <v>474</v>
      </c>
      <c r="E13" s="61">
        <f>TRUNC(0.84565*(E44-75)^1.42)</f>
        <v>530</v>
      </c>
      <c r="F13" s="61">
        <f>TRUNC(1.53775*(82-F44)^1.81)</f>
        <v>370</v>
      </c>
      <c r="G13" s="61">
        <f>TRUNC(5.74352*(28.5-G44)^1.92)</f>
        <v>395</v>
      </c>
      <c r="H13" s="61">
        <f>TRUNC(12.91*(H44-4)^1.1)</f>
        <v>268</v>
      </c>
      <c r="I13" s="61">
        <f>TRUNC(0.2797*(I44-100)^1.35)</f>
        <v>324</v>
      </c>
      <c r="J13" s="61">
        <f>TRUNC(10.14*(J44-7)^1.08)</f>
        <v>302</v>
      </c>
      <c r="K13" s="61">
        <f>TRUNC(0.03768*(480-K44)^1.85)</f>
        <v>512</v>
      </c>
      <c r="M13" s="63">
        <f>SUM(B13:K13)</f>
        <v>4156</v>
      </c>
    </row>
    <row r="14" spans="1:13" ht="18.75" thickTop="1">
      <c r="A14" t="s">
        <v>34</v>
      </c>
      <c r="B14" s="44">
        <v>20.7</v>
      </c>
      <c r="C14" s="42">
        <v>320</v>
      </c>
      <c r="D14" s="41">
        <v>6</v>
      </c>
      <c r="E14" s="42">
        <v>125</v>
      </c>
      <c r="F14" s="41">
        <v>97</v>
      </c>
      <c r="G14" s="41">
        <v>31</v>
      </c>
      <c r="H14" s="41">
        <v>14</v>
      </c>
      <c r="I14" s="42">
        <v>250</v>
      </c>
      <c r="J14" s="41">
        <v>17</v>
      </c>
      <c r="K14" s="41">
        <v>580</v>
      </c>
      <c r="L14" s="56" t="s">
        <v>41</v>
      </c>
      <c r="M14" s="5"/>
    </row>
    <row r="15" spans="1:13" s="62" customFormat="1" ht="18.75" thickBot="1">
      <c r="A15" s="87" t="s">
        <v>8</v>
      </c>
      <c r="B15" s="65">
        <f>TRUNC(25.4347*(18-B46)^1.81)</f>
        <v>0</v>
      </c>
      <c r="C15" s="86">
        <f>TRUNC(0.14354*(C46-220)^1.4)</f>
        <v>254</v>
      </c>
      <c r="D15" s="86">
        <f>TRUNC(51.39*(D46-1.5)^1.05)</f>
        <v>345</v>
      </c>
      <c r="E15" s="86">
        <f>TRUNC(0.84565*(E46-75)^1.42)</f>
        <v>478</v>
      </c>
      <c r="F15" s="86">
        <f>TRUNC(1.53775*(82-F46)^1.81)</f>
        <v>0</v>
      </c>
      <c r="G15" s="86">
        <f>TRUNC(5.74352*(28.5-G46)^1.92)</f>
        <v>0</v>
      </c>
      <c r="H15" s="86">
        <f>TRUNC(12.91*(H46-4)^1.1)</f>
        <v>187</v>
      </c>
      <c r="I15" s="86">
        <f>TRUNC(0.2797*(I46-100)^1.35)</f>
        <v>458</v>
      </c>
      <c r="J15" s="86">
        <f>TRUNC(10.14*(J46-7)^1.08)</f>
        <v>214</v>
      </c>
      <c r="K15" s="86">
        <f>TRUNC(0.03768*(480-K46)^1.85)</f>
        <v>0</v>
      </c>
      <c r="L15" s="68"/>
      <c r="M15" s="69">
        <f>SUM(B15:K15)</f>
        <v>1936</v>
      </c>
    </row>
    <row r="16" spans="1:13" ht="18">
      <c r="A16" t="s">
        <v>38</v>
      </c>
      <c r="B16" s="44">
        <v>18.3</v>
      </c>
      <c r="C16" s="42">
        <v>269</v>
      </c>
      <c r="D16" s="41">
        <v>7.3</v>
      </c>
      <c r="E16" s="42">
        <v>110</v>
      </c>
      <c r="F16" s="41">
        <v>83.3</v>
      </c>
      <c r="G16" s="41">
        <v>31</v>
      </c>
      <c r="H16" s="41">
        <v>18.5</v>
      </c>
      <c r="I16" s="42">
        <v>160</v>
      </c>
      <c r="J16" s="41">
        <v>25</v>
      </c>
      <c r="K16" s="41">
        <v>408.9</v>
      </c>
      <c r="L16" s="56" t="s">
        <v>45</v>
      </c>
      <c r="M16" s="5"/>
    </row>
    <row r="17" spans="1:13" s="62" customFormat="1" ht="18.75" thickBot="1">
      <c r="A17" s="87" t="s">
        <v>8</v>
      </c>
      <c r="B17" s="65">
        <f>TRUNC(25.4347*(18-B48)^1.81)</f>
        <v>106</v>
      </c>
      <c r="C17" s="86">
        <f>TRUNC(0.14354*(C48-220)^1.4)</f>
        <v>146</v>
      </c>
      <c r="D17" s="86">
        <f>TRUNC(51.39*(D48-1.5)^1.05)</f>
        <v>444</v>
      </c>
      <c r="E17" s="86">
        <f>TRUNC(0.84565*(E48-75)^1.42)</f>
        <v>334</v>
      </c>
      <c r="F17" s="86">
        <f>TRUNC(1.53775*(82-F48)^1.81)</f>
        <v>133</v>
      </c>
      <c r="G17" s="86">
        <f>TRUNC(5.74352*(28.5-G48)^1.92)</f>
        <v>0</v>
      </c>
      <c r="H17" s="86">
        <f>TRUNC(12.91*(H48-4)^1.1)</f>
        <v>278</v>
      </c>
      <c r="I17" s="86">
        <f>TRUNC(0.2797*(I48-100)^1.35)</f>
        <v>175</v>
      </c>
      <c r="J17" s="86">
        <f>TRUNC(10.14*(J48-7)^1.08)</f>
        <v>372</v>
      </c>
      <c r="K17" s="86">
        <f>TRUNC(0.03768*(480-K48)^1.85)</f>
        <v>377</v>
      </c>
      <c r="L17" s="68"/>
      <c r="M17" s="69">
        <f>SUM(B17:K17)</f>
        <v>2365</v>
      </c>
    </row>
    <row r="18" spans="1:13" ht="18">
      <c r="A18" t="s">
        <v>39</v>
      </c>
      <c r="B18" s="44">
        <v>17</v>
      </c>
      <c r="C18" s="42">
        <v>269</v>
      </c>
      <c r="D18" s="41">
        <v>6.8</v>
      </c>
      <c r="E18" s="42">
        <v>58</v>
      </c>
      <c r="F18" s="41">
        <v>88</v>
      </c>
      <c r="G18" s="41">
        <v>31</v>
      </c>
      <c r="H18" s="41">
        <v>17</v>
      </c>
      <c r="I18" s="42">
        <v>75</v>
      </c>
      <c r="J18" s="41">
        <v>23.2</v>
      </c>
      <c r="K18" s="41">
        <v>580</v>
      </c>
      <c r="L18" s="56" t="s">
        <v>41</v>
      </c>
      <c r="M18" s="5"/>
    </row>
    <row r="19" spans="1:13" s="62" customFormat="1" ht="18.75" thickBot="1">
      <c r="A19" s="87" t="s">
        <v>8</v>
      </c>
      <c r="B19" s="65">
        <f>TRUNC(25.4347*(18-B50)^1.81)</f>
        <v>223</v>
      </c>
      <c r="C19" s="86">
        <f>TRUNC(0.14354*(C50-220)^1.4)</f>
        <v>146</v>
      </c>
      <c r="D19" s="86">
        <f>TRUNC(51.39*(D50-1.5)^1.05)</f>
        <v>406</v>
      </c>
      <c r="E19" s="86">
        <f>TRUNC(0.84565*(E50-75)^1.42)</f>
        <v>0</v>
      </c>
      <c r="F19" s="86">
        <f>TRUNC(1.53775*(82-F50)^1.81)</f>
        <v>63</v>
      </c>
      <c r="G19" s="86">
        <f>TRUNC(5.74352*(28.5-G50)^1.92)</f>
        <v>0</v>
      </c>
      <c r="H19" s="86">
        <f>TRUNC(12.91*(H50-4)^1.1)</f>
        <v>247</v>
      </c>
      <c r="I19" s="86">
        <f>TRUNC(0.2797*(I50-100)^1.35)</f>
        <v>0</v>
      </c>
      <c r="J19" s="86">
        <f>TRUNC(10.14*(J50-7)^1.08)</f>
        <v>336</v>
      </c>
      <c r="K19" s="86">
        <f>TRUNC(0.03768*(480-K50)^1.85)</f>
        <v>0</v>
      </c>
      <c r="L19" s="68"/>
      <c r="M19" s="69">
        <f>SUM(B19:K19)</f>
        <v>1421</v>
      </c>
    </row>
    <row r="20" spans="1:13" ht="18">
      <c r="A20" t="s">
        <v>40</v>
      </c>
      <c r="B20" s="44">
        <v>20.7</v>
      </c>
      <c r="C20" s="42">
        <v>166</v>
      </c>
      <c r="D20" s="41">
        <v>7.1</v>
      </c>
      <c r="E20" s="42">
        <v>58</v>
      </c>
      <c r="F20" s="41">
        <v>96.35</v>
      </c>
      <c r="G20" s="41">
        <v>31</v>
      </c>
      <c r="H20" s="41">
        <v>17.7</v>
      </c>
      <c r="I20" s="42">
        <v>75</v>
      </c>
      <c r="J20" s="41">
        <v>18</v>
      </c>
      <c r="K20" s="41">
        <v>580</v>
      </c>
      <c r="L20" s="56" t="s">
        <v>41</v>
      </c>
      <c r="M20" s="5"/>
    </row>
    <row r="21" spans="1:13" s="62" customFormat="1" ht="18.75" thickBot="1">
      <c r="A21" s="87" t="s">
        <v>8</v>
      </c>
      <c r="B21" s="65">
        <f>TRUNC(25.4347*(18-B52)^1.81)</f>
        <v>0</v>
      </c>
      <c r="C21" s="86">
        <f>TRUNC(0.14354*(C52-220)^1.4)</f>
        <v>0</v>
      </c>
      <c r="D21" s="86">
        <f>TRUNC(51.39*(D52-1.5)^1.05)</f>
        <v>428</v>
      </c>
      <c r="E21" s="86">
        <f>TRUNC(0.84565*(E52-75)^1.42)</f>
        <v>0</v>
      </c>
      <c r="F21" s="86">
        <f>TRUNC(1.53775*(82-F52)^1.81)</f>
        <v>0</v>
      </c>
      <c r="G21" s="86">
        <f>TRUNC(5.74352*(28.5-G52)^1.92)</f>
        <v>0</v>
      </c>
      <c r="H21" s="86">
        <f>TRUNC(12.91*(H52-4)^1.1)</f>
        <v>262</v>
      </c>
      <c r="I21" s="86">
        <f>TRUNC(0.2797*(I52-100)^1.35)</f>
        <v>0</v>
      </c>
      <c r="J21" s="86">
        <f>TRUNC(10.14*(J52-7)^1.08)</f>
        <v>234</v>
      </c>
      <c r="K21" s="86">
        <f>TRUNC(0.03768*(480-K52)^1.85)</f>
        <v>0</v>
      </c>
      <c r="L21" s="68"/>
      <c r="M21" s="69">
        <f>SUM(B21:K21)</f>
        <v>924</v>
      </c>
    </row>
    <row r="22" spans="1:13" ht="18">
      <c r="A22" t="s">
        <v>42</v>
      </c>
      <c r="B22" s="44">
        <v>20.7</v>
      </c>
      <c r="C22" s="42">
        <v>166</v>
      </c>
      <c r="D22" s="41">
        <v>5.55</v>
      </c>
      <c r="E22" s="42">
        <v>58</v>
      </c>
      <c r="F22" s="41">
        <v>96.35</v>
      </c>
      <c r="G22" s="41">
        <v>31</v>
      </c>
      <c r="H22" s="41">
        <v>3.73</v>
      </c>
      <c r="I22" s="42">
        <v>75</v>
      </c>
      <c r="J22" s="41">
        <v>5.05</v>
      </c>
      <c r="K22" s="41">
        <v>580</v>
      </c>
      <c r="L22" s="56" t="s">
        <v>41</v>
      </c>
      <c r="M22" s="5"/>
    </row>
    <row r="23" spans="1:13" ht="18.75" thickBot="1">
      <c r="A23" s="87" t="s">
        <v>8</v>
      </c>
      <c r="B23" s="65">
        <f>TRUNC(25.4347*(18-B54)^1.81)</f>
        <v>0</v>
      </c>
      <c r="C23" s="86">
        <f>TRUNC(0.14354*(C54-220)^1.4)</f>
        <v>0</v>
      </c>
      <c r="D23" s="86">
        <f>TRUNC(51.39*(D54-1.5)^1.05)</f>
        <v>311</v>
      </c>
      <c r="E23" s="86">
        <f>TRUNC(0.84565*(E54-75)^1.42)</f>
        <v>0</v>
      </c>
      <c r="F23" s="86">
        <f>TRUNC(1.53775*(82-F54)^1.81)</f>
        <v>0</v>
      </c>
      <c r="G23" s="86">
        <f>TRUNC(5.74352*(28.5-G54)^1.92)</f>
        <v>0</v>
      </c>
      <c r="H23" s="86">
        <f>TRUNC(12.91*(H54-4)^1.1)</f>
        <v>0</v>
      </c>
      <c r="I23" s="86">
        <f>TRUNC(0.2797*(I54-100)^1.35)</f>
        <v>0</v>
      </c>
      <c r="J23" s="86">
        <f>TRUNC(10.14*(J54-7)^1.08)</f>
        <v>0</v>
      </c>
      <c r="K23" s="86">
        <f>TRUNC(0.03768*(480-K54)^1.85)</f>
        <v>0</v>
      </c>
      <c r="L23" s="68"/>
      <c r="M23" s="69">
        <f>SUM(B23:K23)</f>
        <v>311</v>
      </c>
    </row>
    <row r="24" spans="1:13" ht="18">
      <c r="A24" t="s">
        <v>43</v>
      </c>
      <c r="B24" s="44">
        <v>20.7</v>
      </c>
      <c r="C24" s="42">
        <v>166</v>
      </c>
      <c r="D24" s="41">
        <v>9.5</v>
      </c>
      <c r="E24" s="42">
        <v>58</v>
      </c>
      <c r="F24" s="41">
        <v>96.35</v>
      </c>
      <c r="G24" s="41">
        <v>31</v>
      </c>
      <c r="H24" s="41">
        <v>21.5</v>
      </c>
      <c r="I24" s="42">
        <v>75</v>
      </c>
      <c r="J24" s="41">
        <v>24.6</v>
      </c>
      <c r="K24" s="41">
        <v>580</v>
      </c>
      <c r="L24" s="56" t="s">
        <v>41</v>
      </c>
      <c r="M24" s="5"/>
    </row>
    <row r="25" spans="1:13" ht="18.75" thickBot="1">
      <c r="A25" s="87" t="s">
        <v>8</v>
      </c>
      <c r="B25" s="65">
        <f>TRUNC(25.4347*(18-B56)^1.81)</f>
        <v>0</v>
      </c>
      <c r="C25" s="86">
        <f>TRUNC(0.14354*(C56-220)^1.4)</f>
        <v>0</v>
      </c>
      <c r="D25" s="86">
        <f>TRUNC(51.39*(D56-1.5)^1.05)</f>
        <v>612</v>
      </c>
      <c r="E25" s="86">
        <f>TRUNC(0.84565*(E56-75)^1.42)</f>
        <v>0</v>
      </c>
      <c r="F25" s="86">
        <f>TRUNC(1.53775*(82-F56)^1.81)</f>
        <v>0</v>
      </c>
      <c r="G25" s="86">
        <f>TRUNC(5.74352*(28.5-G56)^1.92)</f>
        <v>0</v>
      </c>
      <c r="H25" s="86">
        <f>TRUNC(12.91*(H56-4)^1.1)</f>
        <v>341</v>
      </c>
      <c r="I25" s="86">
        <f>TRUNC(0.2797*(I56-100)^1.35)</f>
        <v>0</v>
      </c>
      <c r="J25" s="86">
        <f>TRUNC(10.14*(J56-7)^1.08)</f>
        <v>364</v>
      </c>
      <c r="K25" s="86">
        <f>TRUNC(0.03768*(480-K56)^1.85)</f>
        <v>0</v>
      </c>
      <c r="L25" s="68"/>
      <c r="M25" s="69">
        <f>SUM(B25:K25)</f>
        <v>1317</v>
      </c>
    </row>
    <row r="26" spans="1:13" ht="18">
      <c r="A26" t="s">
        <v>44</v>
      </c>
      <c r="B26" s="44">
        <v>20.7</v>
      </c>
      <c r="C26" s="42">
        <v>205</v>
      </c>
      <c r="D26" s="41">
        <v>9.35</v>
      </c>
      <c r="E26" s="42">
        <v>115</v>
      </c>
      <c r="F26" s="41">
        <v>96.35</v>
      </c>
      <c r="G26" s="41">
        <v>31</v>
      </c>
      <c r="H26" s="41">
        <v>22.5</v>
      </c>
      <c r="I26" s="42">
        <v>75</v>
      </c>
      <c r="J26" s="41">
        <v>28.5</v>
      </c>
      <c r="K26" s="41">
        <v>580</v>
      </c>
      <c r="L26" s="56" t="s">
        <v>41</v>
      </c>
      <c r="M26" s="5"/>
    </row>
    <row r="27" spans="1:13" ht="18.75" thickBot="1">
      <c r="A27" s="87" t="s">
        <v>8</v>
      </c>
      <c r="B27" s="65">
        <f>TRUNC(25.4347*(18-B58)^1.81)</f>
        <v>0</v>
      </c>
      <c r="C27" s="86">
        <f>TRUNC(0.14354*(C58-220)^1.4)</f>
        <v>39</v>
      </c>
      <c r="D27" s="86">
        <f>TRUNC(51.39*(D58-1.5)^1.05)</f>
        <v>601</v>
      </c>
      <c r="E27" s="86">
        <f>TRUNC(0.84565*(E58-75)^1.42)</f>
        <v>380</v>
      </c>
      <c r="F27" s="86">
        <f>TRUNC(1.53775*(82-F58)^1.81)</f>
        <v>0</v>
      </c>
      <c r="G27" s="86">
        <f>TRUNC(5.74352*(28.5-G58)^1.92)</f>
        <v>0</v>
      </c>
      <c r="H27" s="86">
        <f>TRUNC(12.91*(H58-4)^1.1)</f>
        <v>362</v>
      </c>
      <c r="I27" s="86">
        <f>TRUNC(0.2797*(I58-100)^1.35)</f>
        <v>0</v>
      </c>
      <c r="J27" s="86">
        <f>TRUNC(10.14*(J58-7)^1.08)</f>
        <v>443</v>
      </c>
      <c r="K27" s="86">
        <f>TRUNC(0.03768*(480-K58)^1.85)</f>
        <v>0</v>
      </c>
      <c r="L27" s="68"/>
      <c r="M27" s="69">
        <f>SUM(B27:K27)</f>
        <v>1825</v>
      </c>
    </row>
    <row r="28" spans="1:13" ht="18">
      <c r="A28" s="92" t="s">
        <v>46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23"/>
      <c r="M28" s="91"/>
    </row>
    <row r="29" spans="1:13" ht="18">
      <c r="A29" s="88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23"/>
      <c r="M29" s="91"/>
    </row>
    <row r="30" spans="1:13" ht="18">
      <c r="A30" s="92" t="s">
        <v>47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23"/>
      <c r="M30" s="91"/>
    </row>
    <row r="31" spans="1:13" ht="18">
      <c r="A31" s="88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23"/>
      <c r="M31" s="91"/>
    </row>
    <row r="32" ht="17.25" customHeight="1">
      <c r="A32" s="93" t="s">
        <v>48</v>
      </c>
    </row>
    <row r="33" ht="17.25" customHeight="1">
      <c r="A33" s="93"/>
    </row>
    <row r="34" ht="17.25" customHeight="1">
      <c r="A34" s="93" t="s">
        <v>49</v>
      </c>
    </row>
    <row r="35" ht="17.25" customHeight="1">
      <c r="A35" s="93"/>
    </row>
    <row r="36" ht="17.25" customHeight="1">
      <c r="A36" s="93" t="s">
        <v>50</v>
      </c>
    </row>
    <row r="37" ht="17.25" customHeight="1">
      <c r="A37" s="93"/>
    </row>
    <row r="38" ht="17.25" customHeight="1">
      <c r="A38" s="93"/>
    </row>
    <row r="39" spans="1:13" ht="18">
      <c r="A39" t="s">
        <v>30</v>
      </c>
      <c r="B39" s="37">
        <v>0.8633</v>
      </c>
      <c r="C39" s="37">
        <v>1.3417</v>
      </c>
      <c r="D39" s="37">
        <v>1.2736</v>
      </c>
      <c r="E39" s="37">
        <v>1.2947</v>
      </c>
      <c r="F39" s="37">
        <v>0.8433</v>
      </c>
      <c r="G39" s="38">
        <v>0.9085</v>
      </c>
      <c r="H39" s="37">
        <v>1.0984</v>
      </c>
      <c r="I39" s="37">
        <v>1.3628</v>
      </c>
      <c r="J39" s="37">
        <v>1.4059</v>
      </c>
      <c r="K39" s="37">
        <v>0.8181</v>
      </c>
      <c r="M39" s="5"/>
    </row>
    <row r="40" spans="1:13" ht="15">
      <c r="A40" s="45" t="s">
        <v>22</v>
      </c>
      <c r="B40" s="77">
        <f aca="true" t="shared" si="0" ref="B40:K40">B39*B8</f>
        <v>12.431519999999999</v>
      </c>
      <c r="C40" s="78">
        <f t="shared" si="0"/>
        <v>567.5391</v>
      </c>
      <c r="D40" s="79">
        <f t="shared" si="0"/>
        <v>10.1888</v>
      </c>
      <c r="E40" s="78">
        <f t="shared" si="0"/>
        <v>168.311</v>
      </c>
      <c r="F40" s="80">
        <f t="shared" si="0"/>
        <v>58.94667000000001</v>
      </c>
      <c r="G40" s="79">
        <f t="shared" si="0"/>
        <v>17.915619999999997</v>
      </c>
      <c r="H40" s="79">
        <f t="shared" si="0"/>
        <v>23.0664</v>
      </c>
      <c r="I40" s="81">
        <f t="shared" si="0"/>
        <v>340.7</v>
      </c>
      <c r="J40" s="79">
        <f t="shared" si="0"/>
        <v>40.7711</v>
      </c>
      <c r="K40" s="79">
        <f t="shared" si="0"/>
        <v>281.18097</v>
      </c>
      <c r="L40" s="82" t="s">
        <v>28</v>
      </c>
      <c r="M40" s="12"/>
    </row>
    <row r="41" spans="1:13" ht="18">
      <c r="A41" t="s">
        <v>30</v>
      </c>
      <c r="B41" s="37">
        <v>0.8633</v>
      </c>
      <c r="C41" s="37">
        <v>1.3417</v>
      </c>
      <c r="D41" s="37">
        <v>1.2736</v>
      </c>
      <c r="E41" s="37">
        <v>1.2947</v>
      </c>
      <c r="F41" s="37">
        <v>0.8433</v>
      </c>
      <c r="G41" s="38">
        <v>0.9085</v>
      </c>
      <c r="H41" s="37">
        <v>1.0984</v>
      </c>
      <c r="I41" s="37">
        <v>1.3628</v>
      </c>
      <c r="J41" s="37">
        <v>1.4059</v>
      </c>
      <c r="K41" s="37">
        <v>0.8181</v>
      </c>
      <c r="M41" s="5"/>
    </row>
    <row r="42" spans="1:13" ht="15">
      <c r="A42" s="45" t="s">
        <v>22</v>
      </c>
      <c r="B42" s="77">
        <f aca="true" t="shared" si="1" ref="B42:K42">B41*B10</f>
        <v>11.99987</v>
      </c>
      <c r="C42" s="78">
        <f t="shared" si="1"/>
        <v>544.7302</v>
      </c>
      <c r="D42" s="79">
        <f t="shared" si="1"/>
        <v>8.9152</v>
      </c>
      <c r="E42" s="78">
        <f t="shared" si="1"/>
        <v>161.8375</v>
      </c>
      <c r="F42" s="80">
        <f t="shared" si="1"/>
        <v>57.76605</v>
      </c>
      <c r="G42" s="79">
        <f t="shared" si="1"/>
        <v>18.07915</v>
      </c>
      <c r="H42" s="79">
        <f t="shared" si="1"/>
        <v>18.672800000000002</v>
      </c>
      <c r="I42" s="81">
        <f t="shared" si="1"/>
        <v>313.444</v>
      </c>
      <c r="J42" s="79">
        <f t="shared" si="1"/>
        <v>40.48992</v>
      </c>
      <c r="K42" s="79">
        <f t="shared" si="1"/>
        <v>280.77192</v>
      </c>
      <c r="L42" s="82"/>
      <c r="M42" s="12"/>
    </row>
    <row r="43" spans="1:13" ht="18">
      <c r="A43" t="s">
        <v>30</v>
      </c>
      <c r="B43" s="37">
        <v>0.8633</v>
      </c>
      <c r="C43" s="37">
        <v>1.3417</v>
      </c>
      <c r="D43" s="37">
        <v>1.2736</v>
      </c>
      <c r="E43" s="37">
        <v>1.2947</v>
      </c>
      <c r="F43" s="37">
        <v>0.8433</v>
      </c>
      <c r="G43" s="38">
        <v>0.9085</v>
      </c>
      <c r="H43" s="37">
        <v>1.0984</v>
      </c>
      <c r="I43" s="37">
        <v>1.3628</v>
      </c>
      <c r="J43" s="37">
        <v>1.4059</v>
      </c>
      <c r="K43" s="37">
        <v>0.8181</v>
      </c>
      <c r="M43" s="5"/>
    </row>
    <row r="44" spans="1:13" ht="15">
      <c r="A44" s="45" t="s">
        <v>22</v>
      </c>
      <c r="B44" s="77">
        <f aca="true" t="shared" si="2" ref="B44:K44">B43*B12</f>
        <v>12.431519999999999</v>
      </c>
      <c r="C44" s="78">
        <f t="shared" si="2"/>
        <v>515.2128</v>
      </c>
      <c r="D44" s="79">
        <f t="shared" si="2"/>
        <v>9.80672</v>
      </c>
      <c r="E44" s="78">
        <f t="shared" si="2"/>
        <v>168.311</v>
      </c>
      <c r="F44" s="80">
        <f t="shared" si="2"/>
        <v>61.30791000000001</v>
      </c>
      <c r="G44" s="79">
        <f t="shared" si="2"/>
        <v>19.441899999999997</v>
      </c>
      <c r="H44" s="79">
        <f t="shared" si="2"/>
        <v>19.7712</v>
      </c>
      <c r="I44" s="81">
        <f t="shared" si="2"/>
        <v>286.188</v>
      </c>
      <c r="J44" s="79">
        <f t="shared" si="2"/>
        <v>30.22685</v>
      </c>
      <c r="K44" s="79">
        <f t="shared" si="2"/>
        <v>308.50551</v>
      </c>
      <c r="L44" s="82"/>
      <c r="M44" s="12"/>
    </row>
    <row r="45" spans="1:13" ht="18">
      <c r="A45" t="s">
        <v>30</v>
      </c>
      <c r="B45" s="37">
        <v>0.8633</v>
      </c>
      <c r="C45" s="37">
        <v>1.3417</v>
      </c>
      <c r="D45" s="37">
        <v>1.2736</v>
      </c>
      <c r="E45" s="37">
        <v>1.2947</v>
      </c>
      <c r="F45" s="37">
        <v>0.8433</v>
      </c>
      <c r="G45" s="38">
        <v>0.9085</v>
      </c>
      <c r="H45" s="37">
        <v>1.0984</v>
      </c>
      <c r="I45" s="37">
        <v>1.3628</v>
      </c>
      <c r="J45" s="37">
        <v>1.4059</v>
      </c>
      <c r="K45" s="37">
        <v>0.8181</v>
      </c>
      <c r="M45" s="5"/>
    </row>
    <row r="46" spans="1:13" ht="15">
      <c r="A46" s="45" t="s">
        <v>22</v>
      </c>
      <c r="B46" s="46">
        <f aca="true" t="shared" si="3" ref="B46:K46">B45*B14</f>
        <v>17.87031</v>
      </c>
      <c r="C46" s="48">
        <f t="shared" si="3"/>
        <v>429.34399999999994</v>
      </c>
      <c r="D46" s="47">
        <f t="shared" si="3"/>
        <v>7.6416</v>
      </c>
      <c r="E46" s="48">
        <f t="shared" si="3"/>
        <v>161.8375</v>
      </c>
      <c r="F46" s="51">
        <f t="shared" si="3"/>
        <v>81.8001</v>
      </c>
      <c r="G46" s="47">
        <f t="shared" si="3"/>
        <v>28.1635</v>
      </c>
      <c r="H46" s="47">
        <f t="shared" si="3"/>
        <v>15.377600000000001</v>
      </c>
      <c r="I46" s="50">
        <f t="shared" si="3"/>
        <v>340.7</v>
      </c>
      <c r="J46" s="47">
        <f t="shared" si="3"/>
        <v>23.900299999999998</v>
      </c>
      <c r="K46" s="47">
        <f t="shared" si="3"/>
        <v>474.49800000000005</v>
      </c>
      <c r="L46" s="49"/>
      <c r="M46" s="12"/>
    </row>
    <row r="47" spans="1:13" ht="18">
      <c r="A47" t="s">
        <v>30</v>
      </c>
      <c r="B47" s="37">
        <v>0.8633</v>
      </c>
      <c r="C47" s="37">
        <v>1.3417</v>
      </c>
      <c r="D47" s="37">
        <v>1.2736</v>
      </c>
      <c r="E47" s="37">
        <v>1.2947</v>
      </c>
      <c r="F47" s="37">
        <v>0.8433</v>
      </c>
      <c r="G47" s="38">
        <v>0.9085</v>
      </c>
      <c r="H47" s="37">
        <v>1.0984</v>
      </c>
      <c r="I47" s="37">
        <v>1.3628</v>
      </c>
      <c r="J47" s="37">
        <v>1.4059</v>
      </c>
      <c r="K47" s="37">
        <v>0.8181</v>
      </c>
      <c r="M47" s="5"/>
    </row>
    <row r="48" spans="1:13" ht="15">
      <c r="A48" s="45" t="s">
        <v>22</v>
      </c>
      <c r="B48" s="46">
        <f aca="true" t="shared" si="4" ref="B48:K48">B47*B16</f>
        <v>15.79839</v>
      </c>
      <c r="C48" s="48">
        <f t="shared" si="4"/>
        <v>360.91729999999995</v>
      </c>
      <c r="D48" s="47">
        <f t="shared" si="4"/>
        <v>9.29728</v>
      </c>
      <c r="E48" s="48">
        <f t="shared" si="4"/>
        <v>142.417</v>
      </c>
      <c r="F48" s="51">
        <f t="shared" si="4"/>
        <v>70.24689000000001</v>
      </c>
      <c r="G48" s="47">
        <f t="shared" si="4"/>
        <v>28.1635</v>
      </c>
      <c r="H48" s="47">
        <f t="shared" si="4"/>
        <v>20.3204</v>
      </c>
      <c r="I48" s="50">
        <f t="shared" si="4"/>
        <v>218.048</v>
      </c>
      <c r="J48" s="47">
        <f t="shared" si="4"/>
        <v>35.1475</v>
      </c>
      <c r="K48" s="47">
        <f t="shared" si="4"/>
        <v>334.52109</v>
      </c>
      <c r="L48" s="49" t="s">
        <v>28</v>
      </c>
      <c r="M48" s="12"/>
    </row>
    <row r="49" spans="1:13" ht="18">
      <c r="A49" t="s">
        <v>30</v>
      </c>
      <c r="B49" s="37">
        <v>0.8633</v>
      </c>
      <c r="C49" s="37">
        <v>1.3417</v>
      </c>
      <c r="D49" s="37">
        <v>1.2736</v>
      </c>
      <c r="E49" s="37">
        <v>1.2947</v>
      </c>
      <c r="F49" s="37">
        <v>0.8433</v>
      </c>
      <c r="G49" s="38">
        <v>0.9085</v>
      </c>
      <c r="H49" s="37">
        <v>1.0984</v>
      </c>
      <c r="I49" s="37">
        <v>1.3628</v>
      </c>
      <c r="J49" s="37">
        <v>1.4059</v>
      </c>
      <c r="K49" s="37">
        <v>0.8181</v>
      </c>
      <c r="M49" s="5"/>
    </row>
    <row r="50" spans="1:13" ht="15">
      <c r="A50" s="45" t="s">
        <v>22</v>
      </c>
      <c r="B50" s="46">
        <f aca="true" t="shared" si="5" ref="B50:K50">B49*B18</f>
        <v>14.6761</v>
      </c>
      <c r="C50" s="48">
        <f t="shared" si="5"/>
        <v>360.91729999999995</v>
      </c>
      <c r="D50" s="47">
        <f t="shared" si="5"/>
        <v>8.66048</v>
      </c>
      <c r="E50" s="48">
        <f t="shared" si="5"/>
        <v>75.0926</v>
      </c>
      <c r="F50" s="51">
        <f t="shared" si="5"/>
        <v>74.2104</v>
      </c>
      <c r="G50" s="47">
        <f t="shared" si="5"/>
        <v>28.1635</v>
      </c>
      <c r="H50" s="47">
        <f t="shared" si="5"/>
        <v>18.672800000000002</v>
      </c>
      <c r="I50" s="50">
        <f t="shared" si="5"/>
        <v>102.21000000000001</v>
      </c>
      <c r="J50" s="47">
        <f t="shared" si="5"/>
        <v>32.616879999999995</v>
      </c>
      <c r="K50" s="47">
        <f t="shared" si="5"/>
        <v>474.49800000000005</v>
      </c>
      <c r="L50" s="49" t="s">
        <v>28</v>
      </c>
      <c r="M50" s="12"/>
    </row>
    <row r="51" spans="1:13" ht="18">
      <c r="A51" t="s">
        <v>30</v>
      </c>
      <c r="B51" s="37">
        <v>0.8633</v>
      </c>
      <c r="C51" s="37">
        <v>1.3417</v>
      </c>
      <c r="D51" s="37">
        <v>1.2736</v>
      </c>
      <c r="E51" s="37">
        <v>1.2947</v>
      </c>
      <c r="F51" s="37">
        <v>0.8433</v>
      </c>
      <c r="G51" s="38">
        <v>0.9085</v>
      </c>
      <c r="H51" s="37">
        <v>1.0984</v>
      </c>
      <c r="I51" s="37">
        <v>1.3628</v>
      </c>
      <c r="J51" s="37">
        <v>1.4059</v>
      </c>
      <c r="K51" s="37">
        <v>0.8181</v>
      </c>
      <c r="M51" s="5"/>
    </row>
    <row r="52" spans="1:13" ht="15">
      <c r="A52" s="45" t="s">
        <v>22</v>
      </c>
      <c r="B52" s="46">
        <f aca="true" t="shared" si="6" ref="B52:K52">B51*B20</f>
        <v>17.87031</v>
      </c>
      <c r="C52" s="48">
        <f t="shared" si="6"/>
        <v>222.7222</v>
      </c>
      <c r="D52" s="47">
        <f t="shared" si="6"/>
        <v>9.04256</v>
      </c>
      <c r="E52" s="48">
        <f t="shared" si="6"/>
        <v>75.0926</v>
      </c>
      <c r="F52" s="51">
        <f t="shared" si="6"/>
        <v>81.251955</v>
      </c>
      <c r="G52" s="47">
        <f t="shared" si="6"/>
        <v>28.1635</v>
      </c>
      <c r="H52" s="47">
        <f t="shared" si="6"/>
        <v>19.44168</v>
      </c>
      <c r="I52" s="50">
        <f t="shared" si="6"/>
        <v>102.21000000000001</v>
      </c>
      <c r="J52" s="47">
        <f t="shared" si="6"/>
        <v>25.306199999999997</v>
      </c>
      <c r="K52" s="47">
        <f t="shared" si="6"/>
        <v>474.49800000000005</v>
      </c>
      <c r="L52" s="49" t="s">
        <v>28</v>
      </c>
      <c r="M52" s="12"/>
    </row>
    <row r="53" spans="1:13" ht="18">
      <c r="A53" t="s">
        <v>30</v>
      </c>
      <c r="B53" s="37">
        <v>0.8633</v>
      </c>
      <c r="C53" s="37">
        <v>1.3417</v>
      </c>
      <c r="D53" s="37">
        <v>1.2736</v>
      </c>
      <c r="E53" s="37">
        <v>1.2947</v>
      </c>
      <c r="F53" s="37">
        <v>0.8433</v>
      </c>
      <c r="G53" s="38">
        <v>0.9085</v>
      </c>
      <c r="H53" s="37">
        <v>1.0984</v>
      </c>
      <c r="I53" s="37">
        <v>1.3628</v>
      </c>
      <c r="J53" s="37">
        <v>1.4059</v>
      </c>
      <c r="K53" s="37">
        <v>0.8181</v>
      </c>
      <c r="M53" s="5"/>
    </row>
    <row r="54" spans="1:13" ht="15">
      <c r="A54" s="45" t="s">
        <v>22</v>
      </c>
      <c r="B54" s="46">
        <f aca="true" t="shared" si="7" ref="B54:K54">B53*B22</f>
        <v>17.87031</v>
      </c>
      <c r="C54" s="48">
        <f t="shared" si="7"/>
        <v>222.7222</v>
      </c>
      <c r="D54" s="47">
        <f t="shared" si="7"/>
        <v>7.06848</v>
      </c>
      <c r="E54" s="48">
        <f t="shared" si="7"/>
        <v>75.0926</v>
      </c>
      <c r="F54" s="51">
        <f t="shared" si="7"/>
        <v>81.251955</v>
      </c>
      <c r="G54" s="47">
        <f t="shared" si="7"/>
        <v>28.1635</v>
      </c>
      <c r="H54" s="47">
        <f t="shared" si="7"/>
        <v>4.0970320000000005</v>
      </c>
      <c r="I54" s="50">
        <f t="shared" si="7"/>
        <v>102.21000000000001</v>
      </c>
      <c r="J54" s="47">
        <f t="shared" si="7"/>
        <v>7.099794999999999</v>
      </c>
      <c r="K54" s="47">
        <f t="shared" si="7"/>
        <v>474.49800000000005</v>
      </c>
      <c r="L54" s="49" t="s">
        <v>28</v>
      </c>
      <c r="M54" s="12"/>
    </row>
    <row r="55" spans="1:13" ht="18">
      <c r="A55" t="s">
        <v>30</v>
      </c>
      <c r="B55" s="37">
        <v>0.8633</v>
      </c>
      <c r="C55" s="37">
        <v>1.3417</v>
      </c>
      <c r="D55" s="37">
        <v>1.2736</v>
      </c>
      <c r="E55" s="37">
        <v>1.2947</v>
      </c>
      <c r="F55" s="37">
        <v>0.8433</v>
      </c>
      <c r="G55" s="38">
        <v>0.9085</v>
      </c>
      <c r="H55" s="37">
        <v>1.0984</v>
      </c>
      <c r="I55" s="37">
        <v>1.3628</v>
      </c>
      <c r="J55" s="37">
        <v>1.4059</v>
      </c>
      <c r="K55" s="37">
        <v>0.8181</v>
      </c>
      <c r="M55" s="5"/>
    </row>
    <row r="56" spans="1:13" ht="15">
      <c r="A56" s="45" t="s">
        <v>22</v>
      </c>
      <c r="B56" s="46">
        <f aca="true" t="shared" si="8" ref="B56:K56">B55*B24</f>
        <v>17.87031</v>
      </c>
      <c r="C56" s="48">
        <f t="shared" si="8"/>
        <v>222.7222</v>
      </c>
      <c r="D56" s="47">
        <f t="shared" si="8"/>
        <v>12.0992</v>
      </c>
      <c r="E56" s="48">
        <f t="shared" si="8"/>
        <v>75.0926</v>
      </c>
      <c r="F56" s="51">
        <f t="shared" si="8"/>
        <v>81.251955</v>
      </c>
      <c r="G56" s="47">
        <f t="shared" si="8"/>
        <v>28.1635</v>
      </c>
      <c r="H56" s="47">
        <f t="shared" si="8"/>
        <v>23.6156</v>
      </c>
      <c r="I56" s="50">
        <f t="shared" si="8"/>
        <v>102.21000000000001</v>
      </c>
      <c r="J56" s="47">
        <f t="shared" si="8"/>
        <v>34.58514</v>
      </c>
      <c r="K56" s="47">
        <f t="shared" si="8"/>
        <v>474.49800000000005</v>
      </c>
      <c r="L56" s="49" t="s">
        <v>28</v>
      </c>
      <c r="M56" s="12"/>
    </row>
    <row r="57" spans="1:13" ht="18">
      <c r="A57" t="s">
        <v>30</v>
      </c>
      <c r="B57" s="37">
        <v>0.8633</v>
      </c>
      <c r="C57" s="37">
        <v>1.3417</v>
      </c>
      <c r="D57" s="37">
        <v>1.2736</v>
      </c>
      <c r="E57" s="37">
        <v>1.2947</v>
      </c>
      <c r="F57" s="37">
        <v>0.8433</v>
      </c>
      <c r="G57" s="38">
        <v>0.9085</v>
      </c>
      <c r="H57" s="37">
        <v>1.0984</v>
      </c>
      <c r="I57" s="37">
        <v>1.3628</v>
      </c>
      <c r="J57" s="37">
        <v>1.4059</v>
      </c>
      <c r="K57" s="37">
        <v>0.8181</v>
      </c>
      <c r="M57" s="5"/>
    </row>
    <row r="58" spans="1:13" ht="15">
      <c r="A58" s="45" t="s">
        <v>22</v>
      </c>
      <c r="B58" s="46">
        <f aca="true" t="shared" si="9" ref="B58:K58">B57*B26</f>
        <v>17.87031</v>
      </c>
      <c r="C58" s="48">
        <f t="shared" si="9"/>
        <v>275.0485</v>
      </c>
      <c r="D58" s="47">
        <f t="shared" si="9"/>
        <v>11.90816</v>
      </c>
      <c r="E58" s="48">
        <f t="shared" si="9"/>
        <v>148.8905</v>
      </c>
      <c r="F58" s="51">
        <f t="shared" si="9"/>
        <v>81.251955</v>
      </c>
      <c r="G58" s="47">
        <f t="shared" si="9"/>
        <v>28.1635</v>
      </c>
      <c r="H58" s="47">
        <f t="shared" si="9"/>
        <v>24.714000000000002</v>
      </c>
      <c r="I58" s="50">
        <f t="shared" si="9"/>
        <v>102.21000000000001</v>
      </c>
      <c r="J58" s="47">
        <f t="shared" si="9"/>
        <v>40.068149999999996</v>
      </c>
      <c r="K58" s="47">
        <f t="shared" si="9"/>
        <v>474.49800000000005</v>
      </c>
      <c r="L58" s="49" t="s">
        <v>28</v>
      </c>
      <c r="M58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Martti Näveri</dc:creator>
  <cp:keywords/>
  <dc:description/>
  <cp:lastModifiedBy>Heikki Artman</cp:lastModifiedBy>
  <cp:lastPrinted>2005-08-27T16:35:25Z</cp:lastPrinted>
  <dcterms:created xsi:type="dcterms:W3CDTF">2003-08-11T08:48:21Z</dcterms:created>
  <dcterms:modified xsi:type="dcterms:W3CDTF">2008-01-05T18:59:58Z</dcterms:modified>
  <cp:category/>
  <cp:version/>
  <cp:contentType/>
  <cp:contentStatus/>
</cp:coreProperties>
</file>