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ämäTyökirja"/>
  <bookViews>
    <workbookView xWindow="0" yWindow="0" windowWidth="28800" windowHeight="13500" activeTab="0"/>
  </bookViews>
  <sheets>
    <sheet name="2016" sheetId="1" r:id="rId1"/>
    <sheet name="03konvertoidut" sheetId="2" r:id="rId2"/>
    <sheet name="LongJ" sheetId="3" r:id="rId3"/>
    <sheet name="ShotP" sheetId="4" r:id="rId4"/>
    <sheet name="HighJ" sheetId="5" r:id="rId5"/>
    <sheet name="DiscusT" sheetId="6" r:id="rId6"/>
    <sheet name="PoleV" sheetId="7" r:id="rId7"/>
    <sheet name="Javelin" sheetId="8" r:id="rId8"/>
  </sheets>
  <definedNames>
    <definedName name="T100m">'2016'!$B$100</definedName>
    <definedName name="T1500m">'2016'!$K$100</definedName>
    <definedName name="T400m">'2016'!$F$100</definedName>
    <definedName name="TAidat">'2016'!$G$100</definedName>
    <definedName name="TKeihäs">'2016'!$J$100</definedName>
    <definedName name="TKiekko">'2016'!$H$100</definedName>
    <definedName name="TKorkeus">'2016'!$E$100</definedName>
    <definedName name="TKuula">'2016'!$D$100</definedName>
    <definedName name="TPituus">'2016'!$C$100</definedName>
    <definedName name="Tsata">'2016'!$B$100</definedName>
    <definedName name="TSeiväs">'2016'!$I$100</definedName>
    <definedName name="_xlnm.Print_Area" localSheetId="0">'2016'!$A$1:$P$41</definedName>
  </definedNames>
  <calcPr fullCalcOnLoad="1"/>
</workbook>
</file>

<file path=xl/sharedStrings.xml><?xml version="1.0" encoding="utf-8"?>
<sst xmlns="http://schemas.openxmlformats.org/spreadsheetml/2006/main" count="396" uniqueCount="143">
  <si>
    <r>
      <t xml:space="preserve">50: </t>
    </r>
    <r>
      <rPr>
        <b/>
        <sz val="10"/>
        <color indexed="8"/>
        <rFont val="Arial"/>
        <family val="0"/>
      </rPr>
      <t>100</t>
    </r>
    <r>
      <rPr>
        <sz val="10"/>
        <rFont val="Arial"/>
        <family val="0"/>
      </rPr>
      <t>/91,4</t>
    </r>
  </si>
  <si>
    <r>
      <t>40:110/</t>
    </r>
    <r>
      <rPr>
        <b/>
        <sz val="10"/>
        <color indexed="8"/>
        <rFont val="Arial"/>
        <family val="0"/>
      </rPr>
      <t>99,2</t>
    </r>
  </si>
  <si>
    <r>
      <t>60:</t>
    </r>
    <r>
      <rPr>
        <b/>
        <sz val="10"/>
        <color indexed="8"/>
        <rFont val="Arial"/>
        <family val="0"/>
      </rPr>
      <t>100</t>
    </r>
    <r>
      <rPr>
        <sz val="10"/>
        <rFont val="Arial"/>
        <family val="0"/>
      </rPr>
      <t>/84</t>
    </r>
  </si>
  <si>
    <r>
      <t>70:</t>
    </r>
    <r>
      <rPr>
        <b/>
        <sz val="10"/>
        <color indexed="8"/>
        <rFont val="Arial"/>
        <family val="0"/>
      </rPr>
      <t>80</t>
    </r>
    <r>
      <rPr>
        <sz val="10"/>
        <rFont val="Arial"/>
        <family val="0"/>
      </rPr>
      <t>/76</t>
    </r>
  </si>
  <si>
    <t xml:space="preserve">Converted result </t>
  </si>
  <si>
    <t>WCHpointcalculation</t>
  </si>
  <si>
    <t>Hyrylä 31.8.2016</t>
  </si>
  <si>
    <t>Converted result</t>
  </si>
  <si>
    <t>LASSE 03 -result</t>
  </si>
  <si>
    <t>without age factors</t>
  </si>
  <si>
    <t>Scoring formulas</t>
  </si>
  <si>
    <t>P</t>
  </si>
  <si>
    <t>Run</t>
  </si>
  <si>
    <t>Ikä</t>
  </si>
  <si>
    <t>Age</t>
  </si>
  <si>
    <t>Men</t>
  </si>
  <si>
    <t>PB</t>
  </si>
  <si>
    <t>centimeters</t>
  </si>
  <si>
    <t>Points Men</t>
  </si>
  <si>
    <t>50: 6 kg</t>
  </si>
  <si>
    <t>50: 1,5 kg</t>
  </si>
  <si>
    <t>50: 700g</t>
  </si>
  <si>
    <t>60: 5 kg</t>
  </si>
  <si>
    <t>60:100/84</t>
  </si>
  <si>
    <t>60: 1,0 kg</t>
  </si>
  <si>
    <t>Masa</t>
  </si>
  <si>
    <t>Lasse</t>
  </si>
  <si>
    <t>Rio1</t>
  </si>
  <si>
    <t>M65-8</t>
  </si>
  <si>
    <t>M65-7</t>
  </si>
  <si>
    <t>VeeVee</t>
  </si>
  <si>
    <t>Best</t>
  </si>
  <si>
    <t>Athlete</t>
  </si>
  <si>
    <t>M65-6</t>
  </si>
  <si>
    <t>M65-5</t>
  </si>
  <si>
    <t>M65-4</t>
  </si>
  <si>
    <t>M65-3</t>
  </si>
  <si>
    <t>M65-2</t>
  </si>
  <si>
    <t>M65-1</t>
  </si>
  <si>
    <t>Vesa</t>
  </si>
  <si>
    <t>Jukka</t>
  </si>
  <si>
    <t>Pos.</t>
  </si>
  <si>
    <t>Throw</t>
  </si>
  <si>
    <t>Jump</t>
  </si>
  <si>
    <t>Arto</t>
  </si>
  <si>
    <t>Jari</t>
  </si>
  <si>
    <t>Tadek</t>
  </si>
  <si>
    <t xml:space="preserve">Lasse-Miehikkälä 2015 </t>
  </si>
  <si>
    <t>Ashton EATON /Rio2016</t>
  </si>
  <si>
    <t>Lasse -Pukinmäki2014</t>
  </si>
  <si>
    <t>Javelin Throw</t>
  </si>
  <si>
    <t>Välinemuutokset</t>
  </si>
  <si>
    <t>XXXVIIDecathlon</t>
  </si>
  <si>
    <t>50: 100/91,4</t>
  </si>
  <si>
    <t>Lasse EM-2014</t>
  </si>
  <si>
    <t>Ikäkerroin-55</t>
  </si>
  <si>
    <t>World record</t>
  </si>
  <si>
    <t>1000-p level</t>
  </si>
  <si>
    <t>1 p level - 55</t>
  </si>
  <si>
    <t>Lasse WCH2015</t>
  </si>
  <si>
    <t>Other examples</t>
  </si>
  <si>
    <t>M65-pisteille</t>
  </si>
  <si>
    <t>Marko</t>
  </si>
  <si>
    <t>Kimmo</t>
  </si>
  <si>
    <t>Martti</t>
  </si>
  <si>
    <t>Olavi</t>
  </si>
  <si>
    <t>Risto</t>
  </si>
  <si>
    <t>6.48,9</t>
  </si>
  <si>
    <t>Erkki</t>
  </si>
  <si>
    <t>9.40,00</t>
  </si>
  <si>
    <t>Vesa Ka</t>
  </si>
  <si>
    <t>6.17,1</t>
  </si>
  <si>
    <t>Artturi</t>
  </si>
  <si>
    <t>Vesa K</t>
  </si>
  <si>
    <t>Keihäs*</t>
  </si>
  <si>
    <t>Seiväs</t>
  </si>
  <si>
    <t>Kiekko*</t>
  </si>
  <si>
    <t>Aidat*</t>
  </si>
  <si>
    <t>Korkeus</t>
  </si>
  <si>
    <t>Kuula*</t>
  </si>
  <si>
    <t>Pituus</t>
  </si>
  <si>
    <t>100m</t>
  </si>
  <si>
    <t>6.19,78</t>
  </si>
  <si>
    <t>Kerroin</t>
  </si>
  <si>
    <t>Pisteet</t>
  </si>
  <si>
    <t>Tulos</t>
  </si>
  <si>
    <t>100+</t>
  </si>
  <si>
    <t>Women</t>
  </si>
  <si>
    <t>Points</t>
  </si>
  <si>
    <t>Result</t>
  </si>
  <si>
    <t>Asko</t>
  </si>
  <si>
    <t>Timppa</t>
  </si>
  <si>
    <t>Janne</t>
  </si>
  <si>
    <t>meters</t>
  </si>
  <si>
    <t>seconds</t>
  </si>
  <si>
    <t>Total</t>
  </si>
  <si>
    <t>1500m</t>
  </si>
  <si>
    <t>Javelin</t>
  </si>
  <si>
    <t>Discus</t>
  </si>
  <si>
    <t>Hurdles</t>
  </si>
  <si>
    <t>400m</t>
  </si>
  <si>
    <t>100 m</t>
  </si>
  <si>
    <t>4.41,18</t>
  </si>
  <si>
    <t>Pole Vault</t>
  </si>
  <si>
    <t>High Jump</t>
  </si>
  <si>
    <t>Shot Put</t>
  </si>
  <si>
    <t>Long Jump</t>
  </si>
  <si>
    <t>40:110/99,2</t>
  </si>
  <si>
    <t>Points M65</t>
  </si>
  <si>
    <t xml:space="preserve">  5.43,2</t>
  </si>
  <si>
    <t xml:space="preserve">  5.43,7</t>
  </si>
  <si>
    <t>LASSE 03</t>
  </si>
  <si>
    <t>500-vastine</t>
  </si>
  <si>
    <t>Konv. tulos</t>
  </si>
  <si>
    <t>55 factor</t>
  </si>
  <si>
    <t>Yhteensä</t>
  </si>
  <si>
    <t>1 p level</t>
  </si>
  <si>
    <t>500 p level</t>
  </si>
  <si>
    <t>800 p level</t>
  </si>
  <si>
    <t>900 p level</t>
  </si>
  <si>
    <t>Pisteet-55</t>
  </si>
  <si>
    <t>Pisteet-50</t>
  </si>
  <si>
    <t>Pisteet-45</t>
  </si>
  <si>
    <t>Pisteet-40</t>
  </si>
  <si>
    <t>Pisteet-35</t>
  </si>
  <si>
    <t>80: 400g</t>
  </si>
  <si>
    <t>70: 500g</t>
  </si>
  <si>
    <t>70: 4 kg</t>
  </si>
  <si>
    <t xml:space="preserve">Artturi  </t>
  </si>
  <si>
    <t>Points M60</t>
  </si>
  <si>
    <t>60: 600g</t>
  </si>
  <si>
    <t>500 p level for different age classes</t>
  </si>
  <si>
    <t>* Välinemuutosten vaikutukset arvioitu</t>
  </si>
  <si>
    <t>Changes of the tools in veteran age classes</t>
  </si>
  <si>
    <t xml:space="preserve">The veteran age factors </t>
  </si>
  <si>
    <t xml:space="preserve">Veteran scoring examples </t>
  </si>
  <si>
    <t>Formulas from the official hepathlon tables where available, others with suitable approximation from neighbouring events</t>
  </si>
  <si>
    <r>
      <t>40:110/</t>
    </r>
    <r>
      <rPr>
        <b/>
        <sz val="36"/>
        <color indexed="8"/>
        <rFont val="Arial"/>
        <family val="0"/>
      </rPr>
      <t>99,2</t>
    </r>
  </si>
  <si>
    <r>
      <t xml:space="preserve">50: </t>
    </r>
    <r>
      <rPr>
        <b/>
        <sz val="36"/>
        <color indexed="8"/>
        <rFont val="Arial"/>
        <family val="0"/>
      </rPr>
      <t>100</t>
    </r>
    <r>
      <rPr>
        <sz val="36"/>
        <rFont val="Arial"/>
        <family val="0"/>
      </rPr>
      <t>/91,4</t>
    </r>
  </si>
  <si>
    <r>
      <t>60:</t>
    </r>
    <r>
      <rPr>
        <b/>
        <sz val="36"/>
        <color indexed="8"/>
        <rFont val="Arial"/>
        <family val="0"/>
      </rPr>
      <t>100</t>
    </r>
    <r>
      <rPr>
        <sz val="36"/>
        <rFont val="Arial"/>
        <family val="0"/>
      </rPr>
      <t>/84</t>
    </r>
  </si>
  <si>
    <r>
      <t>70:</t>
    </r>
    <r>
      <rPr>
        <b/>
        <sz val="36"/>
        <color indexed="8"/>
        <rFont val="Arial"/>
        <family val="0"/>
      </rPr>
      <t>80</t>
    </r>
    <r>
      <rPr>
        <sz val="36"/>
        <rFont val="Arial"/>
        <family val="0"/>
      </rPr>
      <t>/76</t>
    </r>
  </si>
  <si>
    <t>M65-9</t>
  </si>
  <si>
    <t>M65-10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</si>
</sst>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_-;\-* #,##0_-;_-* &quot;-&quot;_-;_-@_-"/>
    <numFmt numFmtId="169" formatCode="_-* #,##0.00_-;\-* #,##0.00_-;_-* &quot;-&quot;??_-;_-@_-"/>
    <numFmt numFmtId="170" formatCode="\ #,##0&quot;       &quot;;\-#,##0&quot;       &quot;;&quot; -       &quot;;@\ "/>
    <numFmt numFmtId="171" formatCode="0.0"/>
    <numFmt numFmtId="172" formatCode="\ #,##0.00&quot;       &quot;;\-#,##0.00&quot;       &quot;;&quot; -&quot;#&quot;       &quot;;@\ "/>
    <numFmt numFmtId="173" formatCode="mm/yy"/>
    <numFmt numFmtId="174" formatCode="0.0000"/>
    <numFmt numFmtId="175" formatCode="0.000"/>
    <numFmt numFmtId="176" formatCode="#,##0\ ;\-#,##0\ "/>
  </numFmts>
  <fonts count="38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sz val="11"/>
      <color indexed="17"/>
      <name val="Calibri"/>
      <family val="0"/>
    </font>
    <font>
      <b/>
      <sz val="11"/>
      <color indexed="5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sz val="11"/>
      <color indexed="62"/>
      <name val="Calibri"/>
      <family val="0"/>
    </font>
    <font>
      <b/>
      <sz val="11"/>
      <color indexed="9"/>
      <name val="Calibri"/>
      <family val="0"/>
    </font>
    <font>
      <b/>
      <sz val="11"/>
      <color indexed="63"/>
      <name val="Calibri"/>
      <family val="0"/>
    </font>
    <font>
      <sz val="11"/>
      <color indexed="10"/>
      <name val="Calibri"/>
      <family val="0"/>
    </font>
    <font>
      <b/>
      <sz val="10"/>
      <color indexed="8"/>
      <name val="Arial"/>
      <family val="0"/>
    </font>
    <font>
      <b/>
      <sz val="26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b/>
      <sz val="16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24"/>
      <color indexed="8"/>
      <name val="Arial"/>
      <family val="0"/>
    </font>
    <font>
      <sz val="24"/>
      <name val="Arial"/>
      <family val="0"/>
    </font>
    <font>
      <b/>
      <sz val="36"/>
      <color indexed="8"/>
      <name val="Arial"/>
      <family val="0"/>
    </font>
    <font>
      <i/>
      <sz val="36"/>
      <color indexed="8"/>
      <name val="Arial"/>
      <family val="0"/>
    </font>
    <font>
      <b/>
      <i/>
      <sz val="36"/>
      <color indexed="8"/>
      <name val="Arial"/>
      <family val="0"/>
    </font>
    <font>
      <sz val="36"/>
      <color indexed="8"/>
      <name val="Arial"/>
      <family val="0"/>
    </font>
    <font>
      <sz val="36"/>
      <name val="Arial"/>
      <family val="0"/>
    </font>
    <font>
      <b/>
      <sz val="36"/>
      <color indexed="10"/>
      <name val="Arial"/>
      <family val="0"/>
    </font>
    <font>
      <sz val="36"/>
      <color indexed="10"/>
      <name val="Arial"/>
      <family val="0"/>
    </font>
    <font>
      <b/>
      <sz val="72"/>
      <color indexed="8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/>
      <top>
        <color indexed="63"/>
      </top>
      <bottom style="thick">
        <color indexed="8"/>
      </bottom>
    </border>
    <border>
      <left style="thin"/>
      <right style="thin"/>
      <top>
        <color indexed="63"/>
      </top>
      <bottom style="thick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1" applyNumberFormat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1" borderId="2" applyNumberFormat="0" applyAlignment="0" applyProtection="0"/>
    <xf numFmtId="0" fontId="6" fillId="0" borderId="3" applyNumberFormat="0" applyFill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9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7" borderId="2" applyNumberFormat="0" applyAlignment="0" applyProtection="0"/>
    <xf numFmtId="0" fontId="15" fillId="23" borderId="8" applyNumberFormat="0" applyAlignment="0" applyProtection="0"/>
    <xf numFmtId="0" fontId="16" fillId="21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381"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18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9" fillId="0" borderId="0" xfId="0" applyNumberFormat="1" applyFont="1" applyAlignment="1">
      <alignment/>
    </xf>
    <xf numFmtId="0" fontId="0" fillId="0" borderId="0" xfId="0" applyNumberFormat="1" applyBorder="1" applyAlignment="1">
      <alignment/>
    </xf>
    <xf numFmtId="0" fontId="21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170" fontId="18" fillId="0" borderId="0" xfId="52" applyNumberFormat="1" applyFont="1" applyFill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right"/>
    </xf>
    <xf numFmtId="170" fontId="18" fillId="0" borderId="0" xfId="52" applyNumberFormat="1" applyFont="1" applyFill="1" applyBorder="1" applyAlignment="1" applyProtection="1">
      <alignment/>
      <protection/>
    </xf>
    <xf numFmtId="0" fontId="22" fillId="0" borderId="10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46" fontId="0" fillId="0" borderId="0" xfId="0" applyNumberFormat="1" applyFont="1" applyBorder="1" applyAlignment="1">
      <alignment/>
    </xf>
    <xf numFmtId="0" fontId="0" fillId="0" borderId="13" xfId="0" applyNumberFormat="1" applyBorder="1" applyAlignment="1">
      <alignment/>
    </xf>
    <xf numFmtId="0" fontId="0" fillId="0" borderId="10" xfId="0" applyNumberFormat="1" applyBorder="1" applyAlignment="1">
      <alignment/>
    </xf>
    <xf numFmtId="170" fontId="18" fillId="0" borderId="12" xfId="52" applyNumberFormat="1" applyFont="1" applyFill="1" applyBorder="1" applyAlignment="1" applyProtection="1">
      <alignment horizontal="center"/>
      <protection/>
    </xf>
    <xf numFmtId="0" fontId="18" fillId="0" borderId="14" xfId="0" applyNumberFormat="1" applyFont="1" applyBorder="1" applyAlignment="1">
      <alignment horizontal="center"/>
    </xf>
    <xf numFmtId="172" fontId="0" fillId="0" borderId="12" xfId="51" applyNumberFormat="1" applyFont="1" applyFill="1" applyBorder="1" applyAlignment="1" applyProtection="1">
      <alignment horizontal="right"/>
      <protection/>
    </xf>
    <xf numFmtId="170" fontId="0" fillId="0" borderId="0" xfId="52" applyNumberFormat="1" applyFont="1" applyFill="1" applyBorder="1" applyAlignment="1" applyProtection="1">
      <alignment/>
      <protection/>
    </xf>
    <xf numFmtId="172" fontId="0" fillId="0" borderId="0" xfId="51" applyNumberFormat="1" applyFont="1" applyFill="1" applyBorder="1" applyAlignment="1" applyProtection="1">
      <alignment/>
      <protection/>
    </xf>
    <xf numFmtId="1" fontId="24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  <xf numFmtId="2" fontId="24" fillId="24" borderId="0" xfId="0" applyNumberFormat="1" applyFont="1" applyFill="1" applyAlignment="1">
      <alignment horizontal="center"/>
    </xf>
    <xf numFmtId="170" fontId="18" fillId="0" borderId="15" xfId="52" applyNumberFormat="1" applyFont="1" applyFill="1" applyBorder="1" applyAlignment="1" applyProtection="1">
      <alignment horizontal="center"/>
      <protection/>
    </xf>
    <xf numFmtId="0" fontId="0" fillId="0" borderId="16" xfId="0" applyNumberFormat="1" applyBorder="1" applyAlignment="1">
      <alignment/>
    </xf>
    <xf numFmtId="0" fontId="25" fillId="0" borderId="0" xfId="0" applyNumberFormat="1" applyFont="1" applyAlignment="1">
      <alignment/>
    </xf>
    <xf numFmtId="2" fontId="21" fillId="0" borderId="12" xfId="0" applyNumberFormat="1" applyFont="1" applyBorder="1" applyAlignment="1">
      <alignment horizontal="center"/>
    </xf>
    <xf numFmtId="1" fontId="21" fillId="0" borderId="14" xfId="0" applyNumberFormat="1" applyFont="1" applyBorder="1" applyAlignment="1">
      <alignment horizontal="center"/>
    </xf>
    <xf numFmtId="2" fontId="21" fillId="0" borderId="14" xfId="0" applyNumberFormat="1" applyFont="1" applyBorder="1" applyAlignment="1">
      <alignment horizontal="center"/>
    </xf>
    <xf numFmtId="173" fontId="0" fillId="0" borderId="0" xfId="0" applyNumberFormat="1" applyAlignment="1">
      <alignment/>
    </xf>
    <xf numFmtId="0" fontId="18" fillId="24" borderId="14" xfId="0" applyNumberFormat="1" applyFont="1" applyFill="1" applyBorder="1" applyAlignment="1">
      <alignment horizontal="center"/>
    </xf>
    <xf numFmtId="172" fontId="0" fillId="0" borderId="13" xfId="51" applyNumberFormat="1" applyFont="1" applyFill="1" applyBorder="1" applyAlignment="1" applyProtection="1">
      <alignment horizontal="right"/>
      <protection/>
    </xf>
    <xf numFmtId="170" fontId="0" fillId="0" borderId="17" xfId="51" applyNumberFormat="1" applyFont="1" applyFill="1" applyBorder="1" applyAlignment="1" applyProtection="1">
      <alignment horizontal="right"/>
      <protection/>
    </xf>
    <xf numFmtId="172" fontId="0" fillId="0" borderId="17" xfId="51" applyNumberFormat="1" applyFont="1" applyFill="1" applyBorder="1" applyAlignment="1" applyProtection="1">
      <alignment horizontal="right"/>
      <protection/>
    </xf>
    <xf numFmtId="172" fontId="0" fillId="0" borderId="17" xfId="51" applyNumberFormat="1" applyFont="1" applyFill="1" applyBorder="1" applyAlignment="1" applyProtection="1">
      <alignment horizontal="center"/>
      <protection/>
    </xf>
    <xf numFmtId="176" fontId="0" fillId="0" borderId="17" xfId="51" applyNumberFormat="1" applyFont="1" applyFill="1" applyBorder="1" applyAlignment="1" applyProtection="1">
      <alignment horizontal="center"/>
      <protection/>
    </xf>
    <xf numFmtId="0" fontId="26" fillId="0" borderId="10" xfId="0" applyNumberFormat="1" applyFont="1" applyBorder="1" applyAlignment="1">
      <alignment/>
    </xf>
    <xf numFmtId="170" fontId="18" fillId="0" borderId="18" xfId="52" applyNumberFormat="1" applyFont="1" applyFill="1" applyBorder="1" applyAlignment="1" applyProtection="1">
      <alignment horizontal="center"/>
      <protection/>
    </xf>
    <xf numFmtId="170" fontId="18" fillId="0" borderId="19" xfId="52" applyNumberFormat="1" applyFont="1" applyFill="1" applyBorder="1" applyAlignment="1" applyProtection="1">
      <alignment/>
      <protection/>
    </xf>
    <xf numFmtId="0" fontId="0" fillId="0" borderId="20" xfId="0" applyNumberFormat="1" applyBorder="1" applyAlignment="1">
      <alignment/>
    </xf>
    <xf numFmtId="2" fontId="24" fillId="0" borderId="0" xfId="0" applyNumberFormat="1" applyFont="1" applyBorder="1" applyAlignment="1">
      <alignment horizontal="center"/>
    </xf>
    <xf numFmtId="0" fontId="23" fillId="0" borderId="12" xfId="0" applyNumberFormat="1" applyFont="1" applyBorder="1" applyAlignment="1">
      <alignment horizontal="left"/>
    </xf>
    <xf numFmtId="0" fontId="23" fillId="0" borderId="0" xfId="0" applyNumberFormat="1" applyFont="1" applyAlignment="1">
      <alignment horizontal="left"/>
    </xf>
    <xf numFmtId="0" fontId="22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0" fontId="21" fillId="0" borderId="21" xfId="0" applyNumberFormat="1" applyFont="1" applyBorder="1" applyAlignment="1">
      <alignment/>
    </xf>
    <xf numFmtId="0" fontId="0" fillId="0" borderId="11" xfId="0" applyNumberFormat="1" applyBorder="1" applyAlignment="1">
      <alignment horizontal="right"/>
    </xf>
    <xf numFmtId="0" fontId="0" fillId="0" borderId="10" xfId="0" applyNumberFormat="1" applyFont="1" applyBorder="1" applyAlignment="1">
      <alignment horizontal="left"/>
    </xf>
    <xf numFmtId="0" fontId="23" fillId="0" borderId="13" xfId="0" applyNumberFormat="1" applyFont="1" applyBorder="1" applyAlignment="1">
      <alignment horizontal="left"/>
    </xf>
    <xf numFmtId="0" fontId="23" fillId="0" borderId="17" xfId="0" applyNumberFormat="1" applyFont="1" applyBorder="1" applyAlignment="1">
      <alignment horizontal="left"/>
    </xf>
    <xf numFmtId="0" fontId="22" fillId="0" borderId="20" xfId="0" applyNumberFormat="1" applyFont="1" applyBorder="1" applyAlignment="1">
      <alignment horizontal="right"/>
    </xf>
    <xf numFmtId="170" fontId="18" fillId="0" borderId="18" xfId="52" applyNumberFormat="1" applyFont="1" applyFill="1" applyBorder="1" applyAlignment="1" applyProtection="1">
      <alignment horizontal="right"/>
      <protection/>
    </xf>
    <xf numFmtId="170" fontId="18" fillId="0" borderId="19" xfId="52" applyNumberFormat="1" applyFont="1" applyFill="1" applyBorder="1" applyAlignment="1" applyProtection="1">
      <alignment horizontal="right"/>
      <protection/>
    </xf>
    <xf numFmtId="170" fontId="23" fillId="0" borderId="20" xfId="0" applyNumberFormat="1" applyFont="1" applyBorder="1" applyAlignment="1">
      <alignment/>
    </xf>
    <xf numFmtId="0" fontId="22" fillId="0" borderId="16" xfId="0" applyNumberFormat="1" applyFont="1" applyBorder="1" applyAlignment="1">
      <alignment horizontal="right"/>
    </xf>
    <xf numFmtId="170" fontId="18" fillId="0" borderId="22" xfId="52" applyNumberFormat="1" applyFont="1" applyFill="1" applyBorder="1" applyAlignment="1" applyProtection="1">
      <alignment/>
      <protection/>
    </xf>
    <xf numFmtId="170" fontId="23" fillId="0" borderId="16" xfId="0" applyNumberFormat="1" applyFont="1" applyBorder="1" applyAlignment="1">
      <alignment/>
    </xf>
    <xf numFmtId="0" fontId="22" fillId="0" borderId="0" xfId="0" applyNumberFormat="1" applyFont="1" applyBorder="1" applyAlignment="1">
      <alignment horizontal="left"/>
    </xf>
    <xf numFmtId="170" fontId="23" fillId="0" borderId="0" xfId="0" applyNumberFormat="1" applyFont="1" applyBorder="1" applyAlignment="1">
      <alignment/>
    </xf>
    <xf numFmtId="0" fontId="22" fillId="0" borderId="0" xfId="0" applyNumberFormat="1" applyFont="1" applyBorder="1" applyAlignment="1">
      <alignment horizontal="right"/>
    </xf>
    <xf numFmtId="0" fontId="22" fillId="0" borderId="0" xfId="0" applyNumberFormat="1" applyFont="1" applyFill="1" applyBorder="1" applyAlignment="1">
      <alignment horizontal="left"/>
    </xf>
    <xf numFmtId="172" fontId="27" fillId="0" borderId="13" xfId="51" applyNumberFormat="1" applyFont="1" applyFill="1" applyBorder="1" applyAlignment="1" applyProtection="1">
      <alignment horizontal="right"/>
      <protection/>
    </xf>
    <xf numFmtId="170" fontId="27" fillId="0" borderId="17" xfId="51" applyNumberFormat="1" applyFont="1" applyFill="1" applyBorder="1" applyAlignment="1" applyProtection="1">
      <alignment horizontal="right"/>
      <protection/>
    </xf>
    <xf numFmtId="172" fontId="27" fillId="0" borderId="17" xfId="51" applyNumberFormat="1" applyFont="1" applyFill="1" applyBorder="1" applyAlignment="1" applyProtection="1">
      <alignment horizontal="right"/>
      <protection/>
    </xf>
    <xf numFmtId="172" fontId="27" fillId="0" borderId="17" xfId="51" applyNumberFormat="1" applyFont="1" applyFill="1" applyBorder="1" applyAlignment="1" applyProtection="1">
      <alignment horizontal="center"/>
      <protection/>
    </xf>
    <xf numFmtId="176" fontId="27" fillId="0" borderId="17" xfId="51" applyNumberFormat="1" applyFont="1" applyFill="1" applyBorder="1" applyAlignment="1" applyProtection="1">
      <alignment horizontal="center"/>
      <protection/>
    </xf>
    <xf numFmtId="0" fontId="27" fillId="0" borderId="10" xfId="0" applyNumberFormat="1" applyFont="1" applyBorder="1" applyAlignment="1">
      <alignment/>
    </xf>
    <xf numFmtId="0" fontId="24" fillId="0" borderId="0" xfId="0" applyNumberFormat="1" applyFont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23" fillId="0" borderId="0" xfId="0" applyNumberFormat="1" applyFont="1" applyBorder="1" applyAlignment="1">
      <alignment horizontal="left"/>
    </xf>
    <xf numFmtId="0" fontId="0" fillId="0" borderId="26" xfId="0" applyNumberFormat="1" applyBorder="1" applyAlignment="1">
      <alignment/>
    </xf>
    <xf numFmtId="0" fontId="23" fillId="0" borderId="0" xfId="0" applyNumberFormat="1" applyFont="1" applyAlignment="1">
      <alignment/>
    </xf>
    <xf numFmtId="0" fontId="20" fillId="0" borderId="0" xfId="0" applyNumberFormat="1" applyFont="1" applyAlignment="1">
      <alignment horizontal="right"/>
    </xf>
    <xf numFmtId="0" fontId="20" fillId="0" borderId="27" xfId="0" applyNumberFormat="1" applyFont="1" applyBorder="1" applyAlignment="1">
      <alignment/>
    </xf>
    <xf numFmtId="0" fontId="20" fillId="0" borderId="28" xfId="0" applyNumberFormat="1" applyFont="1" applyBorder="1" applyAlignment="1">
      <alignment horizontal="center"/>
    </xf>
    <xf numFmtId="0" fontId="20" fillId="0" borderId="29" xfId="0" applyNumberFormat="1" applyFont="1" applyBorder="1" applyAlignment="1">
      <alignment horizontal="center"/>
    </xf>
    <xf numFmtId="0" fontId="22" fillId="0" borderId="30" xfId="0" applyNumberFormat="1" applyFont="1" applyBorder="1" applyAlignment="1">
      <alignment/>
    </xf>
    <xf numFmtId="0" fontId="0" fillId="0" borderId="31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20" fillId="0" borderId="33" xfId="0" applyNumberFormat="1" applyFont="1" applyBorder="1" applyAlignment="1">
      <alignment horizontal="center"/>
    </xf>
    <xf numFmtId="0" fontId="0" fillId="0" borderId="34" xfId="0" applyNumberFormat="1" applyBorder="1" applyAlignment="1">
      <alignment horizontal="center"/>
    </xf>
    <xf numFmtId="170" fontId="22" fillId="0" borderId="35" xfId="0" applyNumberFormat="1" applyFont="1" applyFill="1" applyBorder="1" applyAlignment="1">
      <alignment/>
    </xf>
    <xf numFmtId="0" fontId="0" fillId="0" borderId="36" xfId="0" applyNumberFormat="1" applyBorder="1" applyAlignment="1">
      <alignment horizontal="center"/>
    </xf>
    <xf numFmtId="0" fontId="22" fillId="0" borderId="35" xfId="0" applyNumberFormat="1" applyFont="1" applyBorder="1" applyAlignment="1">
      <alignment/>
    </xf>
    <xf numFmtId="0" fontId="22" fillId="0" borderId="35" xfId="0" applyNumberFormat="1" applyFont="1" applyFill="1" applyBorder="1" applyAlignment="1">
      <alignment/>
    </xf>
    <xf numFmtId="0" fontId="0" fillId="0" borderId="37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0" fontId="28" fillId="0" borderId="0" xfId="0" applyNumberFormat="1" applyFont="1" applyAlignment="1">
      <alignment/>
    </xf>
    <xf numFmtId="0" fontId="28" fillId="0" borderId="0" xfId="0" applyNumberFormat="1" applyFont="1" applyBorder="1" applyAlignment="1">
      <alignment horizontal="center"/>
    </xf>
    <xf numFmtId="0" fontId="29" fillId="0" borderId="0" xfId="0" applyNumberFormat="1" applyFont="1" applyAlignment="1">
      <alignment/>
    </xf>
    <xf numFmtId="0" fontId="29" fillId="0" borderId="26" xfId="0" applyNumberFormat="1" applyFont="1" applyBorder="1" applyAlignment="1">
      <alignment/>
    </xf>
    <xf numFmtId="0" fontId="28" fillId="0" borderId="38" xfId="0" applyNumberFormat="1" applyFont="1" applyBorder="1" applyAlignment="1">
      <alignment/>
    </xf>
    <xf numFmtId="0" fontId="29" fillId="0" borderId="0" xfId="0" applyNumberFormat="1" applyFont="1" applyAlignment="1">
      <alignment horizontal="center"/>
    </xf>
    <xf numFmtId="0" fontId="29" fillId="0" borderId="39" xfId="0" applyNumberFormat="1" applyFont="1" applyBorder="1" applyAlignment="1">
      <alignment/>
    </xf>
    <xf numFmtId="0" fontId="29" fillId="0" borderId="24" xfId="0" applyNumberFormat="1" applyFont="1" applyBorder="1" applyAlignment="1">
      <alignment/>
    </xf>
    <xf numFmtId="0" fontId="29" fillId="0" borderId="25" xfId="0" applyNumberFormat="1" applyFont="1" applyBorder="1" applyAlignment="1">
      <alignment/>
    </xf>
    <xf numFmtId="0" fontId="28" fillId="0" borderId="4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28" fillId="0" borderId="0" xfId="0" applyNumberFormat="1" applyFont="1" applyBorder="1" applyAlignment="1">
      <alignment/>
    </xf>
    <xf numFmtId="0" fontId="30" fillId="0" borderId="0" xfId="0" applyNumberFormat="1" applyFont="1" applyAlignment="1">
      <alignment/>
    </xf>
    <xf numFmtId="172" fontId="30" fillId="0" borderId="40" xfId="51" applyNumberFormat="1" applyFont="1" applyFill="1" applyBorder="1" applyAlignment="1" applyProtection="1">
      <alignment horizontal="center"/>
      <protection/>
    </xf>
    <xf numFmtId="170" fontId="30" fillId="0" borderId="0" xfId="52" applyNumberFormat="1" applyFont="1" applyFill="1" applyBorder="1" applyAlignment="1" applyProtection="1">
      <alignment horizontal="center"/>
      <protection/>
    </xf>
    <xf numFmtId="172" fontId="30" fillId="0" borderId="0" xfId="51" applyNumberFormat="1" applyFont="1" applyFill="1" applyBorder="1" applyAlignment="1" applyProtection="1">
      <alignment horizontal="center"/>
      <protection/>
    </xf>
    <xf numFmtId="173" fontId="31" fillId="0" borderId="26" xfId="0" applyNumberFormat="1" applyFont="1" applyBorder="1" applyAlignment="1">
      <alignment/>
    </xf>
    <xf numFmtId="0" fontId="31" fillId="0" borderId="38" xfId="0" applyNumberFormat="1" applyFont="1" applyBorder="1" applyAlignment="1">
      <alignment/>
    </xf>
    <xf numFmtId="0" fontId="32" fillId="0" borderId="0" xfId="0" applyNumberFormat="1" applyFont="1" applyBorder="1" applyAlignment="1">
      <alignment horizontal="center"/>
    </xf>
    <xf numFmtId="0" fontId="30" fillId="0" borderId="0" xfId="0" applyNumberFormat="1" applyFont="1" applyAlignment="1">
      <alignment horizontal="center"/>
    </xf>
    <xf numFmtId="171" fontId="33" fillId="0" borderId="39" xfId="0" applyNumberFormat="1" applyFont="1" applyBorder="1" applyAlignment="1">
      <alignment horizontal="center"/>
    </xf>
    <xf numFmtId="171" fontId="33" fillId="0" borderId="24" xfId="0" applyNumberFormat="1" applyFont="1" applyBorder="1" applyAlignment="1">
      <alignment horizontal="center"/>
    </xf>
    <xf numFmtId="171" fontId="33" fillId="0" borderId="25" xfId="0" applyNumberFormat="1" applyFont="1" applyBorder="1" applyAlignment="1">
      <alignment horizontal="center"/>
    </xf>
    <xf numFmtId="170" fontId="34" fillId="22" borderId="10" xfId="0" applyNumberFormat="1" applyFont="1" applyFill="1" applyBorder="1" applyAlignment="1">
      <alignment/>
    </xf>
    <xf numFmtId="1" fontId="34" fillId="22" borderId="41" xfId="52" applyNumberFormat="1" applyFont="1" applyFill="1" applyBorder="1" applyAlignment="1" applyProtection="1">
      <alignment horizontal="center"/>
      <protection/>
    </xf>
    <xf numFmtId="1" fontId="34" fillId="22" borderId="10" xfId="52" applyNumberFormat="1" applyFont="1" applyFill="1" applyBorder="1" applyAlignment="1" applyProtection="1">
      <alignment horizontal="center"/>
      <protection/>
    </xf>
    <xf numFmtId="171" fontId="34" fillId="22" borderId="42" xfId="0" applyNumberFormat="1" applyFont="1" applyFill="1" applyBorder="1" applyAlignment="1">
      <alignment/>
    </xf>
    <xf numFmtId="1" fontId="34" fillId="22" borderId="43" xfId="0" applyNumberFormat="1" applyFont="1" applyFill="1" applyBorder="1" applyAlignment="1">
      <alignment horizontal="center"/>
    </xf>
    <xf numFmtId="170" fontId="30" fillId="22" borderId="10" xfId="0" applyNumberFormat="1" applyFont="1" applyFill="1" applyBorder="1" applyAlignment="1">
      <alignment horizontal="center"/>
    </xf>
    <xf numFmtId="170" fontId="34" fillId="22" borderId="10" xfId="0" applyNumberFormat="1" applyFont="1" applyFill="1" applyBorder="1" applyAlignment="1">
      <alignment horizontal="center"/>
    </xf>
    <xf numFmtId="170" fontId="34" fillId="22" borderId="44" xfId="0" applyNumberFormat="1" applyFont="1" applyFill="1" applyBorder="1" applyAlignment="1">
      <alignment horizontal="center"/>
    </xf>
    <xf numFmtId="170" fontId="34" fillId="22" borderId="45" xfId="0" applyNumberFormat="1" applyFont="1" applyFill="1" applyBorder="1" applyAlignment="1">
      <alignment horizontal="center"/>
    </xf>
    <xf numFmtId="170" fontId="34" fillId="22" borderId="46" xfId="0" applyNumberFormat="1" applyFont="1" applyFill="1" applyBorder="1" applyAlignment="1">
      <alignment horizontal="center"/>
    </xf>
    <xf numFmtId="0" fontId="34" fillId="22" borderId="10" xfId="0" applyNumberFormat="1" applyFont="1" applyFill="1" applyBorder="1" applyAlignment="1">
      <alignment/>
    </xf>
    <xf numFmtId="173" fontId="30" fillId="0" borderId="26" xfId="0" applyNumberFormat="1" applyFont="1" applyBorder="1" applyAlignment="1">
      <alignment/>
    </xf>
    <xf numFmtId="0" fontId="30" fillId="0" borderId="0" xfId="0" applyNumberFormat="1" applyFont="1" applyBorder="1" applyAlignment="1">
      <alignment horizontal="center"/>
    </xf>
    <xf numFmtId="170" fontId="33" fillId="22" borderId="10" xfId="0" applyNumberFormat="1" applyFont="1" applyFill="1" applyBorder="1" applyAlignment="1">
      <alignment/>
    </xf>
    <xf numFmtId="170" fontId="33" fillId="22" borderId="41" xfId="52" applyNumberFormat="1" applyFont="1" applyFill="1" applyBorder="1" applyAlignment="1" applyProtection="1">
      <alignment horizontal="center"/>
      <protection/>
    </xf>
    <xf numFmtId="170" fontId="33" fillId="22" borderId="10" xfId="52" applyNumberFormat="1" applyFont="1" applyFill="1" applyBorder="1" applyAlignment="1" applyProtection="1">
      <alignment horizontal="center"/>
      <protection/>
    </xf>
    <xf numFmtId="170" fontId="33" fillId="22" borderId="10" xfId="0" applyNumberFormat="1" applyFont="1" applyFill="1" applyBorder="1" applyAlignment="1">
      <alignment horizontal="center"/>
    </xf>
    <xf numFmtId="170" fontId="33" fillId="22" borderId="44" xfId="0" applyNumberFormat="1" applyFont="1" applyFill="1" applyBorder="1" applyAlignment="1">
      <alignment horizontal="center"/>
    </xf>
    <xf numFmtId="170" fontId="33" fillId="22" borderId="45" xfId="0" applyNumberFormat="1" applyFont="1" applyFill="1" applyBorder="1" applyAlignment="1">
      <alignment horizontal="center"/>
    </xf>
    <xf numFmtId="170" fontId="33" fillId="22" borderId="46" xfId="0" applyNumberFormat="1" applyFont="1" applyFill="1" applyBorder="1" applyAlignment="1">
      <alignment horizontal="center"/>
    </xf>
    <xf numFmtId="0" fontId="30" fillId="0" borderId="24" xfId="0" applyNumberFormat="1" applyFont="1" applyBorder="1" applyAlignment="1">
      <alignment/>
    </xf>
    <xf numFmtId="0" fontId="30" fillId="0" borderId="25" xfId="0" applyNumberFormat="1" applyFont="1" applyBorder="1" applyAlignment="1">
      <alignment/>
    </xf>
    <xf numFmtId="0" fontId="33" fillId="22" borderId="10" xfId="0" applyNumberFormat="1" applyFont="1" applyFill="1" applyBorder="1" applyAlignment="1">
      <alignment/>
    </xf>
    <xf numFmtId="172" fontId="30" fillId="0" borderId="0" xfId="51" applyNumberFormat="1" applyFont="1" applyFill="1" applyBorder="1" applyAlignment="1" applyProtection="1">
      <alignment/>
      <protection/>
    </xf>
    <xf numFmtId="0" fontId="30" fillId="0" borderId="26" xfId="0" applyNumberFormat="1" applyFont="1" applyBorder="1" applyAlignment="1">
      <alignment/>
    </xf>
    <xf numFmtId="0" fontId="30" fillId="0" borderId="38" xfId="0" applyNumberFormat="1" applyFont="1" applyBorder="1" applyAlignment="1">
      <alignment/>
    </xf>
    <xf numFmtId="170" fontId="30" fillId="22" borderId="43" xfId="0" applyNumberFormat="1" applyFont="1" applyFill="1" applyBorder="1" applyAlignment="1">
      <alignment/>
    </xf>
    <xf numFmtId="0" fontId="34" fillId="0" borderId="23" xfId="0" applyNumberFormat="1" applyFont="1" applyBorder="1" applyAlignment="1">
      <alignment/>
    </xf>
    <xf numFmtId="0" fontId="30" fillId="0" borderId="0" xfId="0" applyNumberFormat="1" applyFont="1" applyBorder="1" applyAlignment="1">
      <alignment/>
    </xf>
    <xf numFmtId="0" fontId="34" fillId="0" borderId="0" xfId="0" applyNumberFormat="1" applyFont="1" applyBorder="1" applyAlignment="1">
      <alignment horizontal="right"/>
    </xf>
    <xf numFmtId="0" fontId="34" fillId="0" borderId="0" xfId="0" applyNumberFormat="1" applyFont="1" applyBorder="1" applyAlignment="1">
      <alignment/>
    </xf>
    <xf numFmtId="0" fontId="34" fillId="0" borderId="26" xfId="0" applyNumberFormat="1" applyFont="1" applyBorder="1" applyAlignment="1">
      <alignment/>
    </xf>
    <xf numFmtId="170" fontId="30" fillId="0" borderId="0" xfId="0" applyNumberFormat="1" applyFont="1" applyBorder="1" applyAlignment="1">
      <alignment/>
    </xf>
    <xf numFmtId="170" fontId="30" fillId="0" borderId="0" xfId="0" applyNumberFormat="1" applyFont="1" applyBorder="1" applyAlignment="1">
      <alignment horizontal="center"/>
    </xf>
    <xf numFmtId="0" fontId="34" fillId="0" borderId="0" xfId="0" applyNumberFormat="1" applyFont="1" applyBorder="1" applyAlignment="1">
      <alignment horizontal="center"/>
    </xf>
    <xf numFmtId="0" fontId="34" fillId="0" borderId="39" xfId="0" applyNumberFormat="1" applyFont="1" applyBorder="1" applyAlignment="1">
      <alignment/>
    </xf>
    <xf numFmtId="0" fontId="34" fillId="0" borderId="24" xfId="0" applyNumberFormat="1" applyFont="1" applyBorder="1" applyAlignment="1">
      <alignment/>
    </xf>
    <xf numFmtId="0" fontId="34" fillId="0" borderId="25" xfId="0" applyNumberFormat="1" applyFont="1" applyBorder="1" applyAlignment="1">
      <alignment/>
    </xf>
    <xf numFmtId="170" fontId="30" fillId="0" borderId="0" xfId="0" applyNumberFormat="1" applyFont="1" applyAlignment="1">
      <alignment/>
    </xf>
    <xf numFmtId="170" fontId="30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/>
    </xf>
    <xf numFmtId="46" fontId="30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0" fillId="0" borderId="40" xfId="0" applyNumberFormat="1" applyFont="1" applyBorder="1" applyAlignment="1">
      <alignment horizontal="center"/>
    </xf>
    <xf numFmtId="0" fontId="30" fillId="0" borderId="12" xfId="0" applyNumberFormat="1" applyFont="1" applyBorder="1" applyAlignment="1">
      <alignment horizontal="center"/>
    </xf>
    <xf numFmtId="0" fontId="30" fillId="0" borderId="38" xfId="0" applyNumberFormat="1" applyFont="1" applyFill="1" applyBorder="1" applyAlignment="1">
      <alignment horizontal="left"/>
    </xf>
    <xf numFmtId="0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Alignment="1">
      <alignment/>
    </xf>
    <xf numFmtId="2" fontId="30" fillId="0" borderId="40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2" fontId="30" fillId="0" borderId="12" xfId="0" applyNumberFormat="1" applyFont="1" applyFill="1" applyBorder="1" applyAlignment="1">
      <alignment horizontal="center"/>
    </xf>
    <xf numFmtId="2" fontId="30" fillId="0" borderId="0" xfId="52" applyNumberFormat="1" applyFont="1" applyFill="1" applyBorder="1" applyAlignment="1" applyProtection="1">
      <alignment horizontal="center"/>
      <protection/>
    </xf>
    <xf numFmtId="173" fontId="30" fillId="0" borderId="26" xfId="0" applyNumberFormat="1" applyFont="1" applyFill="1" applyBorder="1" applyAlignment="1">
      <alignment/>
    </xf>
    <xf numFmtId="0" fontId="30" fillId="0" borderId="38" xfId="0" applyNumberFormat="1" applyFont="1" applyFill="1" applyBorder="1" applyAlignment="1">
      <alignment/>
    </xf>
    <xf numFmtId="170" fontId="33" fillId="0" borderId="10" xfId="0" applyNumberFormat="1" applyFont="1" applyFill="1" applyBorder="1" applyAlignment="1">
      <alignment/>
    </xf>
    <xf numFmtId="170" fontId="33" fillId="0" borderId="41" xfId="52" applyNumberFormat="1" applyFont="1" applyFill="1" applyBorder="1" applyAlignment="1" applyProtection="1">
      <alignment horizontal="center"/>
      <protection/>
    </xf>
    <xf numFmtId="170" fontId="33" fillId="0" borderId="10" xfId="52" applyNumberFormat="1" applyFont="1" applyFill="1" applyBorder="1" applyAlignment="1" applyProtection="1">
      <alignment horizontal="center"/>
      <protection/>
    </xf>
    <xf numFmtId="170" fontId="33" fillId="0" borderId="13" xfId="52" applyNumberFormat="1" applyFont="1" applyFill="1" applyBorder="1" applyAlignment="1" applyProtection="1">
      <alignment horizontal="center"/>
      <protection/>
    </xf>
    <xf numFmtId="0" fontId="33" fillId="0" borderId="42" xfId="0" applyNumberFormat="1" applyFont="1" applyFill="1" applyBorder="1" applyAlignment="1">
      <alignment/>
    </xf>
    <xf numFmtId="170" fontId="30" fillId="0" borderId="43" xfId="0" applyNumberFormat="1" applyFont="1" applyFill="1" applyBorder="1" applyAlignment="1">
      <alignment/>
    </xf>
    <xf numFmtId="170" fontId="33" fillId="22" borderId="47" xfId="52" applyNumberFormat="1" applyFont="1" applyFill="1" applyBorder="1" applyAlignment="1" applyProtection="1">
      <alignment horizontal="center"/>
      <protection/>
    </xf>
    <xf numFmtId="0" fontId="33" fillId="22" borderId="41" xfId="0" applyNumberFormat="1" applyFont="1" applyFill="1" applyBorder="1" applyAlignment="1">
      <alignment/>
    </xf>
    <xf numFmtId="170" fontId="35" fillId="0" borderId="0" xfId="0" applyNumberFormat="1" applyFont="1" applyFill="1" applyBorder="1" applyAlignment="1">
      <alignment/>
    </xf>
    <xf numFmtId="2" fontId="35" fillId="0" borderId="40" xfId="52" applyNumberFormat="1" applyFont="1" applyFill="1" applyBorder="1" applyAlignment="1" applyProtection="1">
      <alignment horizontal="center"/>
      <protection/>
    </xf>
    <xf numFmtId="170" fontId="35" fillId="0" borderId="0" xfId="52" applyNumberFormat="1" applyFont="1" applyFill="1" applyBorder="1" applyAlignment="1" applyProtection="1">
      <alignment horizontal="center"/>
      <protection/>
    </xf>
    <xf numFmtId="2" fontId="35" fillId="0" borderId="0" xfId="52" applyNumberFormat="1" applyFont="1" applyFill="1" applyBorder="1" applyAlignment="1" applyProtection="1">
      <alignment horizontal="center"/>
      <protection/>
    </xf>
    <xf numFmtId="2" fontId="35" fillId="0" borderId="12" xfId="52" applyNumberFormat="1" applyFont="1" applyFill="1" applyBorder="1" applyAlignment="1" applyProtection="1">
      <alignment horizontal="center"/>
      <protection/>
    </xf>
    <xf numFmtId="0" fontId="36" fillId="0" borderId="26" xfId="0" applyNumberFormat="1" applyFont="1" applyFill="1" applyBorder="1" applyAlignment="1">
      <alignment/>
    </xf>
    <xf numFmtId="170" fontId="35" fillId="0" borderId="38" xfId="0" applyNumberFormat="1" applyFont="1" applyFill="1" applyBorder="1" applyAlignment="1">
      <alignment/>
    </xf>
    <xf numFmtId="170" fontId="30" fillId="22" borderId="0" xfId="0" applyNumberFormat="1" applyFont="1" applyFill="1" applyBorder="1" applyAlignment="1">
      <alignment horizontal="center"/>
    </xf>
    <xf numFmtId="170" fontId="33" fillId="22" borderId="0" xfId="0" applyNumberFormat="1" applyFont="1" applyFill="1" applyBorder="1" applyAlignment="1">
      <alignment horizontal="center"/>
    </xf>
    <xf numFmtId="170" fontId="33" fillId="22" borderId="0" xfId="52" applyNumberFormat="1" applyFont="1" applyFill="1" applyBorder="1" applyAlignment="1" applyProtection="1">
      <alignment horizontal="center"/>
      <protection/>
    </xf>
    <xf numFmtId="0" fontId="33" fillId="22" borderId="0" xfId="0" applyNumberFormat="1" applyFont="1" applyFill="1" applyBorder="1" applyAlignment="1">
      <alignment/>
    </xf>
    <xf numFmtId="170" fontId="30" fillId="22" borderId="0" xfId="0" applyNumberFormat="1" applyFont="1" applyFill="1" applyBorder="1" applyAlignment="1">
      <alignment/>
    </xf>
    <xf numFmtId="170" fontId="33" fillId="22" borderId="0" xfId="0" applyNumberFormat="1" applyFont="1" applyFill="1" applyBorder="1" applyAlignment="1">
      <alignment/>
    </xf>
    <xf numFmtId="170" fontId="36" fillId="0" borderId="38" xfId="0" applyNumberFormat="1" applyFont="1" applyFill="1" applyBorder="1" applyAlignment="1">
      <alignment/>
    </xf>
    <xf numFmtId="1" fontId="36" fillId="25" borderId="40" xfId="52" applyNumberFormat="1" applyFont="1" applyFill="1" applyBorder="1" applyAlignment="1" applyProtection="1">
      <alignment horizontal="center"/>
      <protection/>
    </xf>
    <xf numFmtId="170" fontId="36" fillId="25" borderId="0" xfId="52" applyNumberFormat="1" applyFont="1" applyFill="1" applyBorder="1" applyAlignment="1" applyProtection="1">
      <alignment horizontal="center"/>
      <protection/>
    </xf>
    <xf numFmtId="170" fontId="36" fillId="0" borderId="0" xfId="52" applyNumberFormat="1" applyFont="1" applyFill="1" applyBorder="1" applyAlignment="1" applyProtection="1">
      <alignment horizontal="center"/>
      <protection/>
    </xf>
    <xf numFmtId="170" fontId="36" fillId="25" borderId="12" xfId="52" applyNumberFormat="1" applyFont="1" applyFill="1" applyBorder="1" applyAlignment="1" applyProtection="1">
      <alignment horizontal="center"/>
      <protection/>
    </xf>
    <xf numFmtId="170" fontId="36" fillId="0" borderId="48" xfId="52" applyNumberFormat="1" applyFont="1" applyFill="1" applyBorder="1" applyAlignment="1" applyProtection="1">
      <alignment horizontal="center"/>
      <protection/>
    </xf>
    <xf numFmtId="170" fontId="33" fillId="22" borderId="39" xfId="0" applyNumberFormat="1" applyFont="1" applyFill="1" applyBorder="1" applyAlignment="1">
      <alignment horizontal="center"/>
    </xf>
    <xf numFmtId="170" fontId="33" fillId="22" borderId="24" xfId="0" applyNumberFormat="1" applyFont="1" applyFill="1" applyBorder="1" applyAlignment="1">
      <alignment horizontal="center"/>
    </xf>
    <xf numFmtId="170" fontId="33" fillId="22" borderId="25" xfId="0" applyNumberFormat="1" applyFont="1" applyFill="1" applyBorder="1" applyAlignment="1">
      <alignment horizontal="center"/>
    </xf>
    <xf numFmtId="170" fontId="36" fillId="0" borderId="0" xfId="0" applyNumberFormat="1" applyFont="1" applyFill="1" applyBorder="1" applyAlignment="1">
      <alignment/>
    </xf>
    <xf numFmtId="174" fontId="36" fillId="0" borderId="40" xfId="52" applyNumberFormat="1" applyFont="1" applyFill="1" applyBorder="1" applyAlignment="1" applyProtection="1">
      <alignment horizontal="center"/>
      <protection/>
    </xf>
    <xf numFmtId="174" fontId="36" fillId="0" borderId="0" xfId="52" applyNumberFormat="1" applyFont="1" applyFill="1" applyBorder="1" applyAlignment="1" applyProtection="1">
      <alignment horizontal="center"/>
      <protection/>
    </xf>
    <xf numFmtId="170" fontId="36" fillId="0" borderId="49" xfId="0" applyNumberFormat="1" applyFont="1" applyFill="1" applyBorder="1" applyAlignment="1">
      <alignment/>
    </xf>
    <xf numFmtId="170" fontId="36" fillId="25" borderId="50" xfId="52" applyNumberFormat="1" applyFont="1" applyFill="1" applyBorder="1" applyAlignment="1" applyProtection="1">
      <alignment horizontal="center"/>
      <protection/>
    </xf>
    <xf numFmtId="170" fontId="36" fillId="25" borderId="49" xfId="52" applyNumberFormat="1" applyFont="1" applyFill="1" applyBorder="1" applyAlignment="1" applyProtection="1">
      <alignment horizontal="center"/>
      <protection/>
    </xf>
    <xf numFmtId="170" fontId="33" fillId="0" borderId="49" xfId="52" applyNumberFormat="1" applyFont="1" applyFill="1" applyBorder="1" applyAlignment="1" applyProtection="1">
      <alignment horizontal="center"/>
      <protection/>
    </xf>
    <xf numFmtId="170" fontId="36" fillId="25" borderId="51" xfId="52" applyNumberFormat="1" applyFont="1" applyFill="1" applyBorder="1" applyAlignment="1" applyProtection="1">
      <alignment horizontal="center"/>
      <protection/>
    </xf>
    <xf numFmtId="0" fontId="36" fillId="0" borderId="52" xfId="0" applyNumberFormat="1" applyFont="1" applyFill="1" applyBorder="1" applyAlignment="1">
      <alignment/>
    </xf>
    <xf numFmtId="170" fontId="35" fillId="0" borderId="53" xfId="0" applyNumberFormat="1" applyFont="1" applyFill="1" applyBorder="1" applyAlignment="1">
      <alignment/>
    </xf>
    <xf numFmtId="170" fontId="30" fillId="22" borderId="49" xfId="0" applyNumberFormat="1" applyFont="1" applyFill="1" applyBorder="1" applyAlignment="1">
      <alignment horizontal="center"/>
    </xf>
    <xf numFmtId="170" fontId="33" fillId="22" borderId="49" xfId="0" applyNumberFormat="1" applyFont="1" applyFill="1" applyBorder="1" applyAlignment="1">
      <alignment horizontal="center"/>
    </xf>
    <xf numFmtId="170" fontId="33" fillId="22" borderId="54" xfId="0" applyNumberFormat="1" applyFont="1" applyFill="1" applyBorder="1" applyAlignment="1">
      <alignment horizontal="center"/>
    </xf>
    <xf numFmtId="170" fontId="33" fillId="22" borderId="55" xfId="0" applyNumberFormat="1" applyFont="1" applyFill="1" applyBorder="1" applyAlignment="1">
      <alignment horizontal="center"/>
    </xf>
    <xf numFmtId="170" fontId="33" fillId="22" borderId="56" xfId="0" applyNumberFormat="1" applyFont="1" applyFill="1" applyBorder="1" applyAlignment="1">
      <alignment horizontal="center"/>
    </xf>
    <xf numFmtId="170" fontId="33" fillId="22" borderId="49" xfId="52" applyNumberFormat="1" applyFont="1" applyFill="1" applyBorder="1" applyAlignment="1" applyProtection="1">
      <alignment horizontal="center"/>
      <protection/>
    </xf>
    <xf numFmtId="0" fontId="33" fillId="22" borderId="49" xfId="0" applyNumberFormat="1" applyFont="1" applyFill="1" applyBorder="1" applyAlignment="1">
      <alignment/>
    </xf>
    <xf numFmtId="170" fontId="30" fillId="22" borderId="49" xfId="0" applyNumberFormat="1" applyFont="1" applyFill="1" applyBorder="1" applyAlignment="1">
      <alignment/>
    </xf>
    <xf numFmtId="170" fontId="33" fillId="22" borderId="49" xfId="0" applyNumberFormat="1" applyFont="1" applyFill="1" applyBorder="1" applyAlignment="1">
      <alignment/>
    </xf>
    <xf numFmtId="170" fontId="33" fillId="0" borderId="0" xfId="0" applyNumberFormat="1" applyFont="1" applyFill="1" applyBorder="1" applyAlignment="1">
      <alignment/>
    </xf>
    <xf numFmtId="170" fontId="33" fillId="0" borderId="0" xfId="52" applyNumberFormat="1" applyFont="1" applyFill="1" applyBorder="1" applyAlignment="1" applyProtection="1">
      <alignment horizontal="center"/>
      <protection/>
    </xf>
    <xf numFmtId="0" fontId="33" fillId="0" borderId="26" xfId="0" applyNumberFormat="1" applyFont="1" applyFill="1" applyBorder="1" applyAlignment="1">
      <alignment/>
    </xf>
    <xf numFmtId="170" fontId="30" fillId="0" borderId="38" xfId="0" applyNumberFormat="1" applyFont="1" applyFill="1" applyBorder="1" applyAlignment="1">
      <alignment/>
    </xf>
    <xf numFmtId="170" fontId="30" fillId="0" borderId="0" xfId="0" applyNumberFormat="1" applyFont="1" applyFill="1" applyBorder="1" applyAlignment="1">
      <alignment horizontal="center"/>
    </xf>
    <xf numFmtId="171" fontId="33" fillId="0" borderId="39" xfId="0" applyNumberFormat="1" applyFont="1" applyFill="1" applyBorder="1" applyAlignment="1">
      <alignment horizontal="center"/>
    </xf>
    <xf numFmtId="171" fontId="33" fillId="0" borderId="24" xfId="0" applyNumberFormat="1" applyFont="1" applyFill="1" applyBorder="1" applyAlignment="1">
      <alignment horizontal="center"/>
    </xf>
    <xf numFmtId="171" fontId="33" fillId="0" borderId="25" xfId="0" applyNumberFormat="1" applyFont="1" applyFill="1" applyBorder="1" applyAlignment="1">
      <alignment horizontal="center"/>
    </xf>
    <xf numFmtId="170" fontId="30" fillId="0" borderId="0" xfId="0" applyNumberFormat="1" applyFont="1" applyFill="1" applyBorder="1" applyAlignment="1">
      <alignment/>
    </xf>
    <xf numFmtId="170" fontId="33" fillId="22" borderId="57" xfId="0" applyNumberFormat="1" applyFont="1" applyFill="1" applyBorder="1" applyAlignment="1">
      <alignment/>
    </xf>
    <xf numFmtId="170" fontId="33" fillId="0" borderId="58" xfId="52" applyNumberFormat="1" applyFont="1" applyFill="1" applyBorder="1" applyAlignment="1" applyProtection="1">
      <alignment horizontal="center"/>
      <protection/>
    </xf>
    <xf numFmtId="170" fontId="33" fillId="0" borderId="57" xfId="52" applyNumberFormat="1" applyFont="1" applyFill="1" applyBorder="1" applyAlignment="1" applyProtection="1">
      <alignment horizontal="center"/>
      <protection/>
    </xf>
    <xf numFmtId="170" fontId="33" fillId="0" borderId="59" xfId="52" applyNumberFormat="1" applyFont="1" applyFill="1" applyBorder="1" applyAlignment="1" applyProtection="1">
      <alignment horizontal="center"/>
      <protection/>
    </xf>
    <xf numFmtId="0" fontId="33" fillId="22" borderId="60" xfId="0" applyNumberFormat="1" applyFont="1" applyFill="1" applyBorder="1" applyAlignment="1">
      <alignment/>
    </xf>
    <xf numFmtId="170" fontId="30" fillId="22" borderId="61" xfId="0" applyNumberFormat="1" applyFont="1" applyFill="1" applyBorder="1" applyAlignment="1">
      <alignment/>
    </xf>
    <xf numFmtId="170" fontId="30" fillId="22" borderId="57" xfId="0" applyNumberFormat="1" applyFont="1" applyFill="1" applyBorder="1" applyAlignment="1">
      <alignment horizontal="center"/>
    </xf>
    <xf numFmtId="170" fontId="33" fillId="22" borderId="57" xfId="0" applyNumberFormat="1" applyFont="1" applyFill="1" applyBorder="1" applyAlignment="1">
      <alignment horizontal="center"/>
    </xf>
    <xf numFmtId="170" fontId="33" fillId="22" borderId="62" xfId="0" applyNumberFormat="1" applyFont="1" applyFill="1" applyBorder="1" applyAlignment="1">
      <alignment horizontal="center"/>
    </xf>
    <xf numFmtId="170" fontId="33" fillId="22" borderId="63" xfId="0" applyNumberFormat="1" applyFont="1" applyFill="1" applyBorder="1" applyAlignment="1">
      <alignment horizontal="center"/>
    </xf>
    <xf numFmtId="170" fontId="33" fillId="22" borderId="64" xfId="0" applyNumberFormat="1" applyFont="1" applyFill="1" applyBorder="1" applyAlignment="1">
      <alignment horizontal="center"/>
    </xf>
    <xf numFmtId="170" fontId="33" fillId="22" borderId="57" xfId="52" applyNumberFormat="1" applyFont="1" applyFill="1" applyBorder="1" applyAlignment="1" applyProtection="1">
      <alignment horizontal="center"/>
      <protection/>
    </xf>
    <xf numFmtId="0" fontId="33" fillId="22" borderId="57" xfId="0" applyNumberFormat="1" applyFont="1" applyFill="1" applyBorder="1" applyAlignment="1">
      <alignment/>
    </xf>
    <xf numFmtId="170" fontId="30" fillId="22" borderId="57" xfId="0" applyNumberFormat="1" applyFont="1" applyFill="1" applyBorder="1" applyAlignment="1">
      <alignment/>
    </xf>
    <xf numFmtId="170" fontId="33" fillId="26" borderId="0" xfId="0" applyNumberFormat="1" applyFont="1" applyFill="1" applyBorder="1" applyAlignment="1">
      <alignment/>
    </xf>
    <xf numFmtId="170" fontId="33" fillId="27" borderId="40" xfId="52" applyNumberFormat="1" applyFont="1" applyFill="1" applyBorder="1" applyAlignment="1" applyProtection="1">
      <alignment horizontal="center"/>
      <protection/>
    </xf>
    <xf numFmtId="170" fontId="33" fillId="27" borderId="0" xfId="52" applyNumberFormat="1" applyFont="1" applyFill="1" applyBorder="1" applyAlignment="1" applyProtection="1">
      <alignment horizontal="center"/>
      <protection/>
    </xf>
    <xf numFmtId="170" fontId="33" fillId="27" borderId="12" xfId="52" applyNumberFormat="1" applyFont="1" applyFill="1" applyBorder="1" applyAlignment="1" applyProtection="1">
      <alignment horizontal="center"/>
      <protection/>
    </xf>
    <xf numFmtId="0" fontId="33" fillId="26" borderId="26" xfId="0" applyNumberFormat="1" applyFont="1" applyFill="1" applyBorder="1" applyAlignment="1">
      <alignment/>
    </xf>
    <xf numFmtId="170" fontId="30" fillId="26" borderId="38" xfId="0" applyNumberFormat="1" applyFont="1" applyFill="1" applyBorder="1" applyAlignment="1">
      <alignment/>
    </xf>
    <xf numFmtId="170" fontId="30" fillId="26" borderId="0" xfId="0" applyNumberFormat="1" applyFont="1" applyFill="1" applyBorder="1" applyAlignment="1">
      <alignment horizontal="center"/>
    </xf>
    <xf numFmtId="170" fontId="33" fillId="26" borderId="0" xfId="0" applyNumberFormat="1" applyFont="1" applyFill="1" applyBorder="1" applyAlignment="1">
      <alignment horizontal="center"/>
    </xf>
    <xf numFmtId="170" fontId="33" fillId="26" borderId="39" xfId="0" applyNumberFormat="1" applyFont="1" applyFill="1" applyBorder="1" applyAlignment="1">
      <alignment horizontal="center"/>
    </xf>
    <xf numFmtId="170" fontId="33" fillId="26" borderId="24" xfId="0" applyNumberFormat="1" applyFont="1" applyFill="1" applyBorder="1" applyAlignment="1">
      <alignment horizontal="center"/>
    </xf>
    <xf numFmtId="170" fontId="33" fillId="26" borderId="25" xfId="0" applyNumberFormat="1" applyFont="1" applyFill="1" applyBorder="1" applyAlignment="1">
      <alignment horizontal="center"/>
    </xf>
    <xf numFmtId="170" fontId="33" fillId="26" borderId="0" xfId="52" applyNumberFormat="1" applyFont="1" applyFill="1" applyBorder="1" applyAlignment="1" applyProtection="1">
      <alignment horizontal="center"/>
      <protection/>
    </xf>
    <xf numFmtId="0" fontId="33" fillId="26" borderId="0" xfId="0" applyNumberFormat="1" applyFont="1" applyFill="1" applyBorder="1" applyAlignment="1">
      <alignment/>
    </xf>
    <xf numFmtId="170" fontId="30" fillId="26" borderId="0" xfId="0" applyNumberFormat="1" applyFont="1" applyFill="1" applyBorder="1" applyAlignment="1">
      <alignment/>
    </xf>
    <xf numFmtId="0" fontId="33" fillId="22" borderId="42" xfId="0" applyNumberFormat="1" applyFont="1" applyFill="1" applyBorder="1" applyAlignment="1">
      <alignment/>
    </xf>
    <xf numFmtId="2" fontId="30" fillId="0" borderId="40" xfId="0" applyNumberFormat="1" applyFont="1" applyBorder="1" applyAlignment="1">
      <alignment horizontal="center"/>
    </xf>
    <xf numFmtId="1" fontId="30" fillId="0" borderId="0" xfId="0" applyNumberFormat="1" applyFont="1" applyBorder="1" applyAlignment="1">
      <alignment horizontal="center"/>
    </xf>
    <xf numFmtId="2" fontId="30" fillId="0" borderId="0" xfId="0" applyNumberFormat="1" applyFont="1" applyBorder="1" applyAlignment="1">
      <alignment horizontal="center"/>
    </xf>
    <xf numFmtId="2" fontId="30" fillId="0" borderId="12" xfId="0" applyNumberFormat="1" applyFont="1" applyBorder="1" applyAlignment="1">
      <alignment horizontal="center"/>
    </xf>
    <xf numFmtId="0" fontId="30" fillId="0" borderId="0" xfId="0" applyNumberFormat="1" applyFont="1" applyFill="1" applyAlignment="1">
      <alignment horizontal="center"/>
    </xf>
    <xf numFmtId="170" fontId="30" fillId="0" borderId="10" xfId="0" applyNumberFormat="1" applyFont="1" applyFill="1" applyBorder="1" applyAlignment="1">
      <alignment horizontal="center"/>
    </xf>
    <xf numFmtId="170" fontId="33" fillId="0" borderId="10" xfId="0" applyNumberFormat="1" applyFont="1" applyFill="1" applyBorder="1" applyAlignment="1">
      <alignment horizontal="center"/>
    </xf>
    <xf numFmtId="170" fontId="33" fillId="0" borderId="44" xfId="0" applyNumberFormat="1" applyFont="1" applyFill="1" applyBorder="1" applyAlignment="1">
      <alignment horizontal="center"/>
    </xf>
    <xf numFmtId="170" fontId="33" fillId="0" borderId="45" xfId="0" applyNumberFormat="1" applyFont="1" applyFill="1" applyBorder="1" applyAlignment="1">
      <alignment horizontal="center"/>
    </xf>
    <xf numFmtId="170" fontId="33" fillId="0" borderId="46" xfId="0" applyNumberFormat="1" applyFont="1" applyFill="1" applyBorder="1" applyAlignment="1">
      <alignment horizontal="center"/>
    </xf>
    <xf numFmtId="0" fontId="34" fillId="0" borderId="10" xfId="0" applyNumberFormat="1" applyFont="1" applyFill="1" applyBorder="1" applyAlignment="1">
      <alignment/>
    </xf>
    <xf numFmtId="172" fontId="30" fillId="0" borderId="12" xfId="51" applyNumberFormat="1" applyFont="1" applyFill="1" applyBorder="1" applyAlignment="1" applyProtection="1">
      <alignment horizontal="center"/>
      <protection/>
    </xf>
    <xf numFmtId="170" fontId="30" fillId="0" borderId="38" xfId="0" applyNumberFormat="1" applyFont="1" applyBorder="1" applyAlignment="1">
      <alignment/>
    </xf>
    <xf numFmtId="0" fontId="34" fillId="0" borderId="0" xfId="0" applyNumberFormat="1" applyFont="1" applyAlignment="1">
      <alignment horizontal="right"/>
    </xf>
    <xf numFmtId="0" fontId="33" fillId="0" borderId="4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0" fontId="34" fillId="0" borderId="26" xfId="0" applyNumberFormat="1" applyFont="1" applyBorder="1" applyAlignment="1">
      <alignment horizontal="center"/>
    </xf>
    <xf numFmtId="0" fontId="30" fillId="0" borderId="38" xfId="0" applyNumberFormat="1" applyFont="1" applyFill="1" applyBorder="1" applyAlignment="1">
      <alignment horizontal="center"/>
    </xf>
    <xf numFmtId="0" fontId="33" fillId="0" borderId="0" xfId="0" applyNumberFormat="1" applyFont="1" applyAlignment="1">
      <alignment/>
    </xf>
    <xf numFmtId="172" fontId="33" fillId="0" borderId="12" xfId="51" applyNumberFormat="1" applyFont="1" applyFill="1" applyBorder="1" applyAlignment="1" applyProtection="1">
      <alignment horizontal="center"/>
      <protection/>
    </xf>
    <xf numFmtId="172" fontId="33" fillId="0" borderId="0" xfId="51" applyNumberFormat="1" applyFont="1" applyFill="1" applyBorder="1" applyAlignment="1" applyProtection="1">
      <alignment horizontal="center"/>
      <protection/>
    </xf>
    <xf numFmtId="0" fontId="33" fillId="0" borderId="26" xfId="0" applyNumberFormat="1" applyFont="1" applyBorder="1" applyAlignment="1">
      <alignment/>
    </xf>
    <xf numFmtId="0" fontId="32" fillId="0" borderId="0" xfId="0" applyNumberFormat="1" applyFont="1" applyAlignment="1">
      <alignment/>
    </xf>
    <xf numFmtId="0" fontId="32" fillId="0" borderId="0" xfId="0" applyNumberFormat="1" applyFont="1" applyAlignment="1">
      <alignment horizontal="center"/>
    </xf>
    <xf numFmtId="170" fontId="30" fillId="0" borderId="0" xfId="52" applyNumberFormat="1" applyFont="1" applyFill="1" applyBorder="1" applyAlignment="1" applyProtection="1">
      <alignment horizontal="left"/>
      <protection/>
    </xf>
    <xf numFmtId="170" fontId="30" fillId="0" borderId="0" xfId="52" applyNumberFormat="1" applyFont="1" applyFill="1" applyBorder="1" applyAlignment="1" applyProtection="1">
      <alignment/>
      <protection/>
    </xf>
    <xf numFmtId="0" fontId="33" fillId="0" borderId="0" xfId="0" applyNumberFormat="1" applyFont="1" applyAlignment="1">
      <alignment horizontal="center"/>
    </xf>
    <xf numFmtId="0" fontId="33" fillId="0" borderId="24" xfId="0" applyNumberFormat="1" applyFont="1" applyBorder="1" applyAlignment="1">
      <alignment/>
    </xf>
    <xf numFmtId="0" fontId="33" fillId="0" borderId="25" xfId="0" applyNumberFormat="1" applyFont="1" applyBorder="1" applyAlignment="1">
      <alignment/>
    </xf>
    <xf numFmtId="0" fontId="33" fillId="0" borderId="10" xfId="0" applyNumberFormat="1" applyFont="1" applyBorder="1" applyAlignment="1">
      <alignment/>
    </xf>
    <xf numFmtId="0" fontId="33" fillId="0" borderId="10" xfId="0" applyNumberFormat="1" applyFont="1" applyBorder="1" applyAlignment="1">
      <alignment horizontal="center"/>
    </xf>
    <xf numFmtId="0" fontId="33" fillId="0" borderId="42" xfId="0" applyNumberFormat="1" applyFont="1" applyBorder="1" applyAlignment="1">
      <alignment/>
    </xf>
    <xf numFmtId="170" fontId="30" fillId="0" borderId="43" xfId="0" applyNumberFormat="1" applyFont="1" applyBorder="1" applyAlignment="1">
      <alignment/>
    </xf>
    <xf numFmtId="170" fontId="30" fillId="0" borderId="10" xfId="0" applyNumberFormat="1" applyFont="1" applyBorder="1" applyAlignment="1">
      <alignment horizontal="center"/>
    </xf>
    <xf numFmtId="0" fontId="33" fillId="0" borderId="45" xfId="0" applyNumberFormat="1" applyFont="1" applyBorder="1" applyAlignment="1">
      <alignment/>
    </xf>
    <xf numFmtId="0" fontId="33" fillId="0" borderId="46" xfId="0" applyNumberFormat="1" applyFont="1" applyBorder="1" applyAlignment="1">
      <alignment/>
    </xf>
    <xf numFmtId="0" fontId="34" fillId="0" borderId="11" xfId="0" applyNumberFormat="1" applyFont="1" applyBorder="1" applyAlignment="1">
      <alignment/>
    </xf>
    <xf numFmtId="0" fontId="34" fillId="0" borderId="12" xfId="0" applyNumberFormat="1" applyFont="1" applyBorder="1" applyAlignment="1">
      <alignment/>
    </xf>
    <xf numFmtId="46" fontId="34" fillId="0" borderId="0" xfId="0" applyNumberFormat="1" applyFont="1" applyBorder="1" applyAlignment="1">
      <alignment/>
    </xf>
    <xf numFmtId="0" fontId="34" fillId="0" borderId="13" xfId="0" applyNumberFormat="1" applyFont="1" applyBorder="1" applyAlignment="1">
      <alignment/>
    </xf>
    <xf numFmtId="0" fontId="34" fillId="0" borderId="10" xfId="0" applyNumberFormat="1" applyFont="1" applyBorder="1" applyAlignment="1">
      <alignment horizontal="right"/>
    </xf>
    <xf numFmtId="0" fontId="34" fillId="0" borderId="10" xfId="0" applyNumberFormat="1" applyFont="1" applyBorder="1" applyAlignment="1">
      <alignment/>
    </xf>
    <xf numFmtId="170" fontId="30" fillId="0" borderId="12" xfId="52" applyNumberFormat="1" applyFont="1" applyFill="1" applyBorder="1" applyAlignment="1" applyProtection="1">
      <alignment horizontal="center"/>
      <protection/>
    </xf>
    <xf numFmtId="0" fontId="30" fillId="0" borderId="14" xfId="0" applyNumberFormat="1" applyFont="1" applyBorder="1" applyAlignment="1">
      <alignment horizontal="center"/>
    </xf>
    <xf numFmtId="0" fontId="34" fillId="0" borderId="0" xfId="45" applyNumberFormat="1" applyFont="1" applyAlignment="1">
      <alignment horizontal="center"/>
      <protection/>
    </xf>
    <xf numFmtId="0" fontId="34" fillId="0" borderId="0" xfId="45" applyNumberFormat="1" applyFont="1" applyFill="1" applyAlignment="1">
      <alignment horizontal="center"/>
      <protection/>
    </xf>
    <xf numFmtId="0" fontId="30" fillId="0" borderId="0" xfId="0" applyNumberFormat="1" applyFont="1" applyAlignment="1">
      <alignment horizontal="left"/>
    </xf>
    <xf numFmtId="0" fontId="34" fillId="28" borderId="0" xfId="45" applyNumberFormat="1" applyFont="1" applyFill="1" applyAlignment="1">
      <alignment horizontal="center"/>
      <protection/>
    </xf>
    <xf numFmtId="0" fontId="32" fillId="0" borderId="0" xfId="0" applyNumberFormat="1" applyFont="1" applyAlignment="1">
      <alignment/>
    </xf>
    <xf numFmtId="0" fontId="30" fillId="0" borderId="0" xfId="0" applyNumberFormat="1" applyFont="1" applyAlignment="1">
      <alignment horizontal="right"/>
    </xf>
    <xf numFmtId="0" fontId="30" fillId="24" borderId="0" xfId="0" applyNumberFormat="1" applyFont="1" applyFill="1" applyBorder="1" applyAlignment="1">
      <alignment horizontal="center"/>
    </xf>
    <xf numFmtId="172" fontId="34" fillId="0" borderId="12" xfId="51" applyNumberFormat="1" applyFont="1" applyFill="1" applyBorder="1" applyAlignment="1" applyProtection="1">
      <alignment horizontal="right"/>
      <protection/>
    </xf>
    <xf numFmtId="170" fontId="34" fillId="0" borderId="0" xfId="52" applyNumberFormat="1" applyFont="1" applyFill="1" applyBorder="1" applyAlignment="1" applyProtection="1">
      <alignment/>
      <protection/>
    </xf>
    <xf numFmtId="172" fontId="34" fillId="0" borderId="0" xfId="51" applyNumberFormat="1" applyFont="1" applyFill="1" applyBorder="1" applyAlignment="1" applyProtection="1">
      <alignment/>
      <protection/>
    </xf>
    <xf numFmtId="170" fontId="30" fillId="0" borderId="0" xfId="0" applyNumberFormat="1" applyFont="1" applyAlignment="1">
      <alignment/>
    </xf>
    <xf numFmtId="2" fontId="31" fillId="0" borderId="13" xfId="0" applyNumberFormat="1" applyFont="1" applyBorder="1" applyAlignment="1">
      <alignment horizontal="center"/>
    </xf>
    <xf numFmtId="1" fontId="31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24" borderId="0" xfId="0" applyNumberFormat="1" applyFont="1" applyFill="1" applyAlignment="1">
      <alignment horizontal="center"/>
    </xf>
    <xf numFmtId="170" fontId="30" fillId="0" borderId="13" xfId="52" applyNumberFormat="1" applyFont="1" applyFill="1" applyBorder="1" applyAlignment="1" applyProtection="1">
      <alignment horizontal="center"/>
      <protection/>
    </xf>
    <xf numFmtId="170" fontId="30" fillId="0" borderId="10" xfId="52" applyNumberFormat="1" applyFont="1" applyFill="1" applyBorder="1" applyAlignment="1" applyProtection="1">
      <alignment/>
      <protection/>
    </xf>
    <xf numFmtId="0" fontId="34" fillId="0" borderId="42" xfId="0" applyNumberFormat="1" applyFont="1" applyBorder="1" applyAlignment="1">
      <alignment/>
    </xf>
    <xf numFmtId="170" fontId="30" fillId="0" borderId="10" xfId="0" applyNumberFormat="1" applyFont="1" applyBorder="1" applyAlignment="1">
      <alignment/>
    </xf>
    <xf numFmtId="0" fontId="34" fillId="0" borderId="10" xfId="0" applyNumberFormat="1" applyFont="1" applyBorder="1" applyAlignment="1">
      <alignment horizontal="center"/>
    </xf>
    <xf numFmtId="0" fontId="34" fillId="0" borderId="45" xfId="0" applyNumberFormat="1" applyFont="1" applyBorder="1" applyAlignment="1">
      <alignment/>
    </xf>
    <xf numFmtId="0" fontId="34" fillId="0" borderId="46" xfId="0" applyNumberFormat="1" applyFont="1" applyBorder="1" applyAlignment="1">
      <alignment/>
    </xf>
    <xf numFmtId="2" fontId="30" fillId="0" borderId="12" xfId="52" applyNumberFormat="1" applyFont="1" applyFill="1" applyBorder="1" applyAlignment="1" applyProtection="1">
      <alignment horizontal="center"/>
      <protection/>
    </xf>
    <xf numFmtId="175" fontId="34" fillId="0" borderId="12" xfId="51" applyNumberFormat="1" applyFont="1" applyFill="1" applyBorder="1" applyAlignment="1" applyProtection="1">
      <alignment horizontal="center"/>
      <protection/>
    </xf>
    <xf numFmtId="171" fontId="34" fillId="0" borderId="0" xfId="52" applyNumberFormat="1" applyFont="1" applyFill="1" applyBorder="1" applyAlignment="1" applyProtection="1">
      <alignment horizontal="center"/>
      <protection/>
    </xf>
    <xf numFmtId="0" fontId="33" fillId="0" borderId="16" xfId="0" applyNumberFormat="1" applyFont="1" applyBorder="1" applyAlignment="1">
      <alignment/>
    </xf>
    <xf numFmtId="170" fontId="30" fillId="0" borderId="15" xfId="52" applyNumberFormat="1" applyFont="1" applyFill="1" applyBorder="1" applyAlignment="1" applyProtection="1">
      <alignment horizontal="center"/>
      <protection/>
    </xf>
    <xf numFmtId="170" fontId="30" fillId="0" borderId="16" xfId="52" applyNumberFormat="1" applyFont="1" applyFill="1" applyBorder="1" applyAlignment="1" applyProtection="1">
      <alignment/>
      <protection/>
    </xf>
    <xf numFmtId="0" fontId="34" fillId="0" borderId="65" xfId="0" applyNumberFormat="1" applyFont="1" applyBorder="1" applyAlignment="1">
      <alignment/>
    </xf>
    <xf numFmtId="170" fontId="30" fillId="0" borderId="16" xfId="0" applyNumberFormat="1" applyFont="1" applyBorder="1" applyAlignment="1">
      <alignment/>
    </xf>
    <xf numFmtId="172" fontId="30" fillId="0" borderId="12" xfId="51" applyNumberFormat="1" applyFont="1" applyFill="1" applyBorder="1" applyAlignment="1" applyProtection="1">
      <alignment horizontal="right"/>
      <protection/>
    </xf>
    <xf numFmtId="170" fontId="30" fillId="0" borderId="16" xfId="0" applyNumberFormat="1" applyFont="1" applyBorder="1" applyAlignment="1">
      <alignment horizontal="center"/>
    </xf>
    <xf numFmtId="0" fontId="34" fillId="0" borderId="16" xfId="0" applyNumberFormat="1" applyFont="1" applyBorder="1" applyAlignment="1">
      <alignment horizontal="center"/>
    </xf>
    <xf numFmtId="0" fontId="34" fillId="0" borderId="16" xfId="0" applyNumberFormat="1" applyFont="1" applyBorder="1" applyAlignment="1">
      <alignment/>
    </xf>
    <xf numFmtId="0" fontId="34" fillId="0" borderId="66" xfId="0" applyNumberFormat="1" applyFont="1" applyBorder="1" applyAlignment="1">
      <alignment/>
    </xf>
    <xf numFmtId="0" fontId="34" fillId="0" borderId="67" xfId="0" applyNumberFormat="1" applyFont="1" applyBorder="1" applyAlignment="1">
      <alignment/>
    </xf>
    <xf numFmtId="1" fontId="30" fillId="0" borderId="14" xfId="0" applyNumberFormat="1" applyFont="1" applyBorder="1" applyAlignment="1">
      <alignment horizontal="center"/>
    </xf>
    <xf numFmtId="2" fontId="30" fillId="0" borderId="14" xfId="0" applyNumberFormat="1" applyFont="1" applyBorder="1" applyAlignment="1">
      <alignment horizontal="center"/>
    </xf>
    <xf numFmtId="173" fontId="34" fillId="0" borderId="26" xfId="0" applyNumberFormat="1" applyFont="1" applyBorder="1" applyAlignment="1">
      <alignment/>
    </xf>
    <xf numFmtId="0" fontId="30" fillId="24" borderId="14" xfId="0" applyNumberFormat="1" applyFont="1" applyFill="1" applyBorder="1" applyAlignment="1">
      <alignment horizontal="center"/>
    </xf>
    <xf numFmtId="172" fontId="34" fillId="0" borderId="13" xfId="51" applyNumberFormat="1" applyFont="1" applyFill="1" applyBorder="1" applyAlignment="1" applyProtection="1">
      <alignment horizontal="right"/>
      <protection/>
    </xf>
    <xf numFmtId="170" fontId="34" fillId="0" borderId="17" xfId="51" applyNumberFormat="1" applyFont="1" applyFill="1" applyBorder="1" applyAlignment="1" applyProtection="1">
      <alignment horizontal="right"/>
      <protection/>
    </xf>
    <xf numFmtId="172" fontId="34" fillId="0" borderId="17" xfId="51" applyNumberFormat="1" applyFont="1" applyFill="1" applyBorder="1" applyAlignment="1" applyProtection="1">
      <alignment horizontal="right"/>
      <protection/>
    </xf>
    <xf numFmtId="172" fontId="34" fillId="0" borderId="17" xfId="51" applyNumberFormat="1" applyFont="1" applyFill="1" applyBorder="1" applyAlignment="1" applyProtection="1">
      <alignment horizontal="center"/>
      <protection/>
    </xf>
    <xf numFmtId="176" fontId="34" fillId="0" borderId="17" xfId="51" applyNumberFormat="1" applyFont="1" applyFill="1" applyBorder="1" applyAlignment="1" applyProtection="1">
      <alignment horizontal="center"/>
      <protection/>
    </xf>
    <xf numFmtId="0" fontId="33" fillId="0" borderId="20" xfId="0" applyNumberFormat="1" applyFont="1" applyBorder="1" applyAlignment="1">
      <alignment/>
    </xf>
    <xf numFmtId="170" fontId="30" fillId="0" borderId="18" xfId="52" applyNumberFormat="1" applyFont="1" applyFill="1" applyBorder="1" applyAlignment="1" applyProtection="1">
      <alignment horizontal="center"/>
      <protection/>
    </xf>
    <xf numFmtId="170" fontId="30" fillId="0" borderId="19" xfId="52" applyNumberFormat="1" applyFont="1" applyFill="1" applyBorder="1" applyAlignment="1" applyProtection="1">
      <alignment/>
      <protection/>
    </xf>
    <xf numFmtId="170" fontId="30" fillId="0" borderId="18" xfId="52" applyNumberFormat="1" applyFont="1" applyFill="1" applyBorder="1" applyAlignment="1" applyProtection="1">
      <alignment/>
      <protection/>
    </xf>
    <xf numFmtId="0" fontId="34" fillId="0" borderId="68" xfId="0" applyNumberFormat="1" applyFont="1" applyBorder="1" applyAlignment="1">
      <alignment/>
    </xf>
    <xf numFmtId="170" fontId="30" fillId="0" borderId="20" xfId="0" applyNumberFormat="1" applyFont="1" applyBorder="1" applyAlignment="1">
      <alignment/>
    </xf>
    <xf numFmtId="170" fontId="30" fillId="0" borderId="20" xfId="0" applyNumberFormat="1" applyFont="1" applyBorder="1" applyAlignment="1">
      <alignment horizontal="center"/>
    </xf>
    <xf numFmtId="0" fontId="34" fillId="0" borderId="20" xfId="0" applyNumberFormat="1" applyFont="1" applyBorder="1" applyAlignment="1">
      <alignment horizontal="center"/>
    </xf>
    <xf numFmtId="0" fontId="34" fillId="0" borderId="20" xfId="0" applyNumberFormat="1" applyFont="1" applyBorder="1" applyAlignment="1">
      <alignment/>
    </xf>
    <xf numFmtId="0" fontId="34" fillId="0" borderId="69" xfId="0" applyNumberFormat="1" applyFont="1" applyBorder="1" applyAlignment="1">
      <alignment/>
    </xf>
    <xf numFmtId="0" fontId="34" fillId="0" borderId="70" xfId="0" applyNumberFormat="1" applyFont="1" applyBorder="1" applyAlignment="1">
      <alignment/>
    </xf>
    <xf numFmtId="170" fontId="30" fillId="0" borderId="14" xfId="52" applyNumberFormat="1" applyFont="1" applyFill="1" applyBorder="1" applyAlignment="1" applyProtection="1">
      <alignment/>
      <protection/>
    </xf>
    <xf numFmtId="170" fontId="30" fillId="0" borderId="12" xfId="52" applyNumberFormat="1" applyFont="1" applyFill="1" applyBorder="1" applyAlignment="1" applyProtection="1">
      <alignment/>
      <protection/>
    </xf>
    <xf numFmtId="0" fontId="31" fillId="0" borderId="17" xfId="0" applyNumberFormat="1" applyFont="1" applyBorder="1" applyAlignment="1">
      <alignment horizontal="center"/>
    </xf>
    <xf numFmtId="0" fontId="31" fillId="0" borderId="13" xfId="0" applyNumberFormat="1" applyFont="1" applyBorder="1" applyAlignment="1">
      <alignment horizontal="center"/>
    </xf>
    <xf numFmtId="2" fontId="31" fillId="0" borderId="14" xfId="0" applyNumberFormat="1" applyFont="1" applyBorder="1" applyAlignment="1">
      <alignment horizontal="center"/>
    </xf>
    <xf numFmtId="1" fontId="31" fillId="0" borderId="14" xfId="0" applyNumberFormat="1" applyFont="1" applyBorder="1" applyAlignment="1">
      <alignment horizontal="center"/>
    </xf>
    <xf numFmtId="2" fontId="31" fillId="24" borderId="14" xfId="0" applyNumberFormat="1" applyFont="1" applyFill="1" applyBorder="1" applyAlignment="1">
      <alignment horizontal="center"/>
    </xf>
    <xf numFmtId="2" fontId="31" fillId="0" borderId="12" xfId="0" applyNumberFormat="1" applyFont="1" applyBorder="1" applyAlignment="1">
      <alignment horizontal="center"/>
    </xf>
    <xf numFmtId="0" fontId="30" fillId="0" borderId="26" xfId="0" applyNumberFormat="1" applyFont="1" applyBorder="1" applyAlignment="1">
      <alignment horizontal="center"/>
    </xf>
    <xf numFmtId="0" fontId="30" fillId="0" borderId="0" xfId="0" applyNumberFormat="1" applyFont="1" applyFill="1" applyBorder="1" applyAlignment="1">
      <alignment horizontal="center" wrapText="1"/>
    </xf>
    <xf numFmtId="0" fontId="30" fillId="0" borderId="39" xfId="0" applyNumberFormat="1" applyFont="1" applyBorder="1" applyAlignment="1">
      <alignment horizontal="center"/>
    </xf>
    <xf numFmtId="0" fontId="30" fillId="0" borderId="24" xfId="0" applyNumberFormat="1" applyFont="1" applyBorder="1" applyAlignment="1">
      <alignment horizontal="center"/>
    </xf>
    <xf numFmtId="0" fontId="30" fillId="0" borderId="25" xfId="0" applyNumberFormat="1" applyFont="1" applyBorder="1" applyAlignment="1">
      <alignment horizontal="center"/>
    </xf>
    <xf numFmtId="2" fontId="30" fillId="0" borderId="40" xfId="52" applyNumberFormat="1" applyFont="1" applyFill="1" applyBorder="1" applyAlignment="1" applyProtection="1">
      <alignment horizontal="center"/>
      <protection/>
    </xf>
    <xf numFmtId="1" fontId="30" fillId="0" borderId="0" xfId="52" applyNumberFormat="1" applyFont="1" applyFill="1" applyBorder="1" applyAlignment="1" applyProtection="1">
      <alignment horizontal="center"/>
      <protection/>
    </xf>
    <xf numFmtId="0" fontId="37" fillId="0" borderId="0" xfId="0" applyNumberFormat="1" applyFont="1" applyAlignment="1">
      <alignment horizontal="right"/>
    </xf>
    <xf numFmtId="0" fontId="30" fillId="0" borderId="26" xfId="0" applyNumberFormat="1" applyFont="1" applyFill="1" applyBorder="1" applyAlignment="1">
      <alignment/>
    </xf>
    <xf numFmtId="171" fontId="30" fillId="0" borderId="39" xfId="0" applyNumberFormat="1" applyFont="1" applyFill="1" applyBorder="1" applyAlignment="1">
      <alignment horizontal="center"/>
    </xf>
    <xf numFmtId="171" fontId="30" fillId="0" borderId="24" xfId="0" applyNumberFormat="1" applyFont="1" applyFill="1" applyBorder="1" applyAlignment="1">
      <alignment horizontal="center"/>
    </xf>
    <xf numFmtId="171" fontId="30" fillId="0" borderId="25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/>
    </xf>
    <xf numFmtId="0" fontId="37" fillId="0" borderId="0" xfId="0" applyNumberFormat="1" applyFont="1" applyAlignment="1">
      <alignment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l_O6-results and basic formulas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0"/>
  <sheetViews>
    <sheetView tabSelected="1" zoomScale="25" zoomScaleNormal="25" zoomScaleSheetLayoutView="75" zoomScalePageLayoutView="0" workbookViewId="0" topLeftCell="A1">
      <pane ySplit="3105" topLeftCell="A18" activePane="bottomLeft" state="split"/>
      <selection pane="topLeft" activeCell="K1" sqref="K1"/>
      <selection pane="bottomLeft" activeCell="D24" sqref="D24"/>
    </sheetView>
  </sheetViews>
  <sheetFormatPr defaultColWidth="9.140625" defaultRowHeight="12.75"/>
  <cols>
    <col min="1" max="1" width="79.140625" style="0" customWidth="1"/>
    <col min="2" max="2" width="34.7109375" style="1" customWidth="1"/>
    <col min="3" max="3" width="33.00390625" style="0" customWidth="1"/>
    <col min="4" max="4" width="34.7109375" style="0" customWidth="1"/>
    <col min="5" max="5" width="39.28125" style="0" customWidth="1"/>
    <col min="6" max="6" width="39.8515625" style="0" customWidth="1"/>
    <col min="7" max="7" width="35.8515625" style="0" customWidth="1"/>
    <col min="8" max="8" width="35.28125" style="0" customWidth="1"/>
    <col min="9" max="9" width="38.7109375" style="0" customWidth="1"/>
    <col min="10" max="10" width="35.8515625" style="0" customWidth="1"/>
    <col min="11" max="11" width="38.7109375" style="0" customWidth="1"/>
    <col min="12" max="12" width="5.57421875" style="75" customWidth="1"/>
    <col min="13" max="13" width="35.28125" style="2" customWidth="1"/>
    <col min="14" max="14" width="34.140625" style="3" customWidth="1"/>
    <col min="15" max="15" width="34.140625" style="4" customWidth="1"/>
    <col min="16" max="16" width="34.7109375" style="0" customWidth="1"/>
    <col min="17" max="17" width="35.28125" style="72" customWidth="1"/>
    <col min="18" max="18" width="34.7109375" style="73" customWidth="1"/>
  </cols>
  <sheetData>
    <row r="1" spans="1:16" ht="85.5" customHeight="1">
      <c r="A1" s="380" t="s">
        <v>52</v>
      </c>
      <c r="D1" s="5"/>
      <c r="F1" s="374" t="s">
        <v>6</v>
      </c>
      <c r="P1" s="71"/>
    </row>
    <row r="2" spans="2:18" s="93" customFormat="1" ht="76.5" customHeight="1">
      <c r="B2" s="160" t="s">
        <v>101</v>
      </c>
      <c r="C2" s="128" t="s">
        <v>106</v>
      </c>
      <c r="D2" s="128" t="s">
        <v>105</v>
      </c>
      <c r="E2" s="128" t="s">
        <v>104</v>
      </c>
      <c r="F2" s="128" t="s">
        <v>100</v>
      </c>
      <c r="G2" s="128" t="s">
        <v>99</v>
      </c>
      <c r="H2" s="128" t="s">
        <v>98</v>
      </c>
      <c r="I2" s="128" t="s">
        <v>103</v>
      </c>
      <c r="J2" s="128" t="s">
        <v>97</v>
      </c>
      <c r="K2" s="128" t="s">
        <v>96</v>
      </c>
      <c r="L2" s="367"/>
      <c r="M2" s="276" t="s">
        <v>95</v>
      </c>
      <c r="N2" s="163" t="s">
        <v>41</v>
      </c>
      <c r="O2" s="368" t="s">
        <v>16</v>
      </c>
      <c r="P2" s="369" t="s">
        <v>12</v>
      </c>
      <c r="Q2" s="370" t="s">
        <v>43</v>
      </c>
      <c r="R2" s="371" t="s">
        <v>42</v>
      </c>
    </row>
    <row r="3" spans="2:18" s="157" customFormat="1" ht="46.5" customHeight="1">
      <c r="B3" s="160" t="s">
        <v>94</v>
      </c>
      <c r="C3" s="128" t="s">
        <v>17</v>
      </c>
      <c r="D3" s="128" t="s">
        <v>93</v>
      </c>
      <c r="E3" s="128" t="s">
        <v>17</v>
      </c>
      <c r="F3" s="128" t="s">
        <v>94</v>
      </c>
      <c r="G3" s="128" t="s">
        <v>94</v>
      </c>
      <c r="H3" s="128" t="s">
        <v>93</v>
      </c>
      <c r="I3" s="128" t="s">
        <v>17</v>
      </c>
      <c r="J3" s="128" t="s">
        <v>93</v>
      </c>
      <c r="K3" s="128" t="s">
        <v>94</v>
      </c>
      <c r="L3" s="147"/>
      <c r="M3" s="141"/>
      <c r="N3" s="128"/>
      <c r="O3" s="156"/>
      <c r="P3" s="151"/>
      <c r="Q3" s="152"/>
      <c r="R3" s="153"/>
    </row>
    <row r="4" spans="2:18" s="95" customFormat="1" ht="67.5" customHeight="1">
      <c r="B4" s="102"/>
      <c r="C4" s="103"/>
      <c r="D4" s="103"/>
      <c r="E4" s="103"/>
      <c r="F4" s="104"/>
      <c r="G4" s="104"/>
      <c r="H4" s="103"/>
      <c r="I4" s="103"/>
      <c r="J4" s="103"/>
      <c r="K4" s="104"/>
      <c r="L4" s="96"/>
      <c r="M4" s="97"/>
      <c r="N4" s="94"/>
      <c r="O4" s="98"/>
      <c r="P4" s="99"/>
      <c r="Q4" s="100"/>
      <c r="R4" s="101"/>
    </row>
    <row r="5" spans="1:18" s="105" customFormat="1" ht="73.5" customHeight="1">
      <c r="A5" s="105" t="s">
        <v>48</v>
      </c>
      <c r="B5" s="106">
        <v>10.46</v>
      </c>
      <c r="C5" s="107">
        <v>794</v>
      </c>
      <c r="D5" s="108">
        <v>14.73</v>
      </c>
      <c r="E5" s="107">
        <v>201</v>
      </c>
      <c r="F5" s="108">
        <v>46.07</v>
      </c>
      <c r="G5" s="108">
        <v>13.8</v>
      </c>
      <c r="H5" s="108">
        <v>45.49</v>
      </c>
      <c r="I5" s="107">
        <v>520</v>
      </c>
      <c r="J5" s="108">
        <v>59.77</v>
      </c>
      <c r="K5" s="108">
        <v>263.33</v>
      </c>
      <c r="L5" s="109"/>
      <c r="M5" s="110"/>
      <c r="N5" s="111"/>
      <c r="O5" s="112"/>
      <c r="P5" s="113">
        <f>100*P6/M6</f>
        <v>42.49743826332763</v>
      </c>
      <c r="Q5" s="114">
        <f>100*Q6/M6</f>
        <v>31.817420431184065</v>
      </c>
      <c r="R5" s="115">
        <f>100*R6/M6</f>
        <v>25.685141305488305</v>
      </c>
    </row>
    <row r="6" spans="1:18" s="126" customFormat="1" ht="73.5" customHeight="1">
      <c r="A6" s="116" t="s">
        <v>18</v>
      </c>
      <c r="B6" s="117">
        <f>IF(B5=0," ",IF(B5&lt;18,TRUNC(25.4347*(18-B5)^1.81)," "))</f>
        <v>985</v>
      </c>
      <c r="C6" s="118">
        <f>IF(C5&gt;220,TRUNC(0.14354*(C5-220)^1.4)," ")</f>
        <v>1045</v>
      </c>
      <c r="D6" s="118">
        <f>IF(D5&gt;1.5,TRUNC(51.39*(D5-1.5)^1.05)," ")</f>
        <v>773</v>
      </c>
      <c r="E6" s="118">
        <f>IF(E5&gt;75,0.84565*(E5-75)^1.42," ")</f>
        <v>812.3006995953854</v>
      </c>
      <c r="F6" s="118">
        <f>IF(F5=0," ",IF(F5&lt;82,TRUNC(1.53775*(82-F5)^1.81)," "))</f>
        <v>1005</v>
      </c>
      <c r="G6" s="118">
        <f>IF(G5=0," ",IF(G5&lt;28.5,TRUNC(5.74352*(28.5-G5)^1.92)," "))</f>
        <v>1000</v>
      </c>
      <c r="H6" s="118">
        <f>IF(H5&gt;4,TRUNC(12.91*(H5-4)^1.1)," ")</f>
        <v>777</v>
      </c>
      <c r="I6" s="118">
        <f>IF(I5&gt;100,TRUNC(0.2797*(I5-100)^1.35)," ")</f>
        <v>972</v>
      </c>
      <c r="J6" s="118">
        <f>IF(J5&gt;7,TRUNC(10.14*(J5-7)^1.08)," ")</f>
        <v>734</v>
      </c>
      <c r="K6" s="118">
        <f>IF(K5=0," ",IF(K5&lt;480,TRUNC(0.03768*(480-K5)^1.85)," "))</f>
        <v>789</v>
      </c>
      <c r="L6" s="119"/>
      <c r="M6" s="120">
        <f>SUM(B6:K6)</f>
        <v>8892.300699595386</v>
      </c>
      <c r="N6" s="121" t="s">
        <v>27</v>
      </c>
      <c r="O6" s="122">
        <f>MAX(B6:K6)</f>
        <v>1045</v>
      </c>
      <c r="P6" s="123">
        <f>SUM(B6,F6,G6,K6)</f>
        <v>3779</v>
      </c>
      <c r="Q6" s="124">
        <f>SUM(C6,E6,I6)</f>
        <v>2829.3006995953856</v>
      </c>
      <c r="R6" s="125">
        <f>SUM(D6,H6,J6)</f>
        <v>2284</v>
      </c>
    </row>
    <row r="7" spans="1:18" s="146" customFormat="1" ht="73.5" customHeight="1">
      <c r="A7" s="144" t="s">
        <v>133</v>
      </c>
      <c r="B7" s="145"/>
      <c r="D7" s="144"/>
      <c r="E7" s="144"/>
      <c r="F7" s="144"/>
      <c r="G7" s="144" t="s">
        <v>107</v>
      </c>
      <c r="H7" s="144"/>
      <c r="I7" s="144"/>
      <c r="J7" s="144"/>
      <c r="L7" s="147"/>
      <c r="M7" s="148"/>
      <c r="N7" s="149"/>
      <c r="O7" s="150"/>
      <c r="P7" s="151"/>
      <c r="Q7" s="152"/>
      <c r="R7" s="153"/>
    </row>
    <row r="8" spans="1:18" s="157" customFormat="1" ht="46.5" customHeight="1">
      <c r="A8" s="146"/>
      <c r="B8" s="145"/>
      <c r="C8" s="146"/>
      <c r="D8" s="144" t="s">
        <v>19</v>
      </c>
      <c r="E8" s="144"/>
      <c r="F8" s="144"/>
      <c r="G8" s="144" t="s">
        <v>53</v>
      </c>
      <c r="H8" s="144" t="s">
        <v>20</v>
      </c>
      <c r="I8" s="144"/>
      <c r="J8" s="144" t="s">
        <v>21</v>
      </c>
      <c r="K8" s="146"/>
      <c r="L8" s="147"/>
      <c r="M8" s="154"/>
      <c r="N8" s="155"/>
      <c r="O8" s="156"/>
      <c r="P8" s="151"/>
      <c r="Q8" s="152"/>
      <c r="R8" s="153"/>
    </row>
    <row r="9" spans="1:18" s="157" customFormat="1" ht="49.5" customHeight="1">
      <c r="A9" s="146"/>
      <c r="B9" s="145"/>
      <c r="C9" s="146"/>
      <c r="D9" s="158" t="s">
        <v>22</v>
      </c>
      <c r="E9" s="159"/>
      <c r="F9" s="159"/>
      <c r="G9" s="144" t="s">
        <v>23</v>
      </c>
      <c r="H9" s="144" t="s">
        <v>24</v>
      </c>
      <c r="I9" s="144"/>
      <c r="J9" s="144" t="s">
        <v>130</v>
      </c>
      <c r="K9" s="146"/>
      <c r="L9" s="147"/>
      <c r="M9" s="154"/>
      <c r="N9" s="155"/>
      <c r="O9" s="156"/>
      <c r="P9" s="151"/>
      <c r="Q9" s="152"/>
      <c r="R9" s="153"/>
    </row>
    <row r="10" spans="2:18" s="105" customFormat="1" ht="4.5" customHeight="1">
      <c r="B10" s="160" t="s">
        <v>101</v>
      </c>
      <c r="C10" s="128" t="s">
        <v>106</v>
      </c>
      <c r="D10" s="128" t="s">
        <v>105</v>
      </c>
      <c r="E10" s="128" t="s">
        <v>104</v>
      </c>
      <c r="F10" s="128" t="s">
        <v>100</v>
      </c>
      <c r="G10" s="161" t="s">
        <v>99</v>
      </c>
      <c r="H10" s="128" t="s">
        <v>98</v>
      </c>
      <c r="I10" s="128" t="s">
        <v>103</v>
      </c>
      <c r="J10" s="128" t="s">
        <v>97</v>
      </c>
      <c r="K10" s="128" t="s">
        <v>96</v>
      </c>
      <c r="L10" s="140"/>
      <c r="M10" s="162" t="s">
        <v>95</v>
      </c>
      <c r="N10" s="163"/>
      <c r="O10" s="112" t="s">
        <v>16</v>
      </c>
      <c r="P10" s="143"/>
      <c r="Q10" s="136"/>
      <c r="R10" s="137"/>
    </row>
    <row r="11" spans="1:18" s="105" customFormat="1" ht="4.5" customHeight="1">
      <c r="A11" s="164" t="s">
        <v>54</v>
      </c>
      <c r="B11" s="165">
        <v>14.87</v>
      </c>
      <c r="C11" s="166">
        <v>460</v>
      </c>
      <c r="D11" s="167">
        <v>8.88</v>
      </c>
      <c r="E11" s="166">
        <v>128</v>
      </c>
      <c r="F11" s="167">
        <v>74.97</v>
      </c>
      <c r="G11" s="168">
        <v>20.3</v>
      </c>
      <c r="H11" s="167">
        <v>27.61</v>
      </c>
      <c r="I11" s="107">
        <v>250</v>
      </c>
      <c r="J11" s="169">
        <v>30.5</v>
      </c>
      <c r="K11" s="169">
        <v>373</v>
      </c>
      <c r="L11" s="170"/>
      <c r="M11" s="171"/>
      <c r="N11" s="128"/>
      <c r="O11" s="112"/>
      <c r="P11" s="113">
        <f>100*P12/M12</f>
        <v>38.95174708818636</v>
      </c>
      <c r="Q11" s="114">
        <f>100*Q12/M12</f>
        <v>33.2279534109817</v>
      </c>
      <c r="R11" s="115">
        <f>100*R12/M12</f>
        <v>27.820299500831947</v>
      </c>
    </row>
    <row r="12" spans="1:256" s="179" customFormat="1" ht="4.5" customHeight="1">
      <c r="A12" s="172" t="s">
        <v>108</v>
      </c>
      <c r="B12" s="173">
        <f>IF(B11=0," ",IF(B11&lt;30,TRUNC(25.4347*(18-B11*B$66)^1.81)," "))</f>
        <v>639</v>
      </c>
      <c r="C12" s="174">
        <f>IF(C11&gt;100,TRUNC(0.14354*(C11*C$66-220)^1.4)," ")</f>
        <v>810</v>
      </c>
      <c r="D12" s="174">
        <f>IF(D11&gt;1,TRUNC(51.39*(D11*D$66-1.5)^1.05)," ")</f>
        <v>611</v>
      </c>
      <c r="E12" s="174">
        <f>IF(E11&gt;50,TRUNC(0.84565*(E11*E$66-75)^1.42)," ")</f>
        <v>606</v>
      </c>
      <c r="F12" s="174">
        <f>IF(F11=0," ",IF(F11&lt;120,TRUNC(1.53775*(82-F11*F$66)^1.81)," "))</f>
        <v>457</v>
      </c>
      <c r="G12" s="175">
        <f>IF(G11=0," ",IF(G11&lt;35,TRUNC(5.74352*(28.5-G11*G$66)^1.92)," "))</f>
        <v>570</v>
      </c>
      <c r="H12" s="174">
        <f>IF(H11&gt;2,TRUNC(12.91*(H11*H$66-4)^1.1)," ")</f>
        <v>507</v>
      </c>
      <c r="I12" s="174">
        <f>IF(I11&gt;50,TRUNC(0.2797*(I11*I$66-100)^1.35)," ")</f>
        <v>581</v>
      </c>
      <c r="J12" s="174">
        <f>IF(J11&gt;3,TRUNC(10.14*(J11*J$66-7)^1.08)," ")</f>
        <v>554</v>
      </c>
      <c r="K12" s="174">
        <f>IF(K11=0," ",IF(K11&lt;800.36,TRUNC(0.03768*(480-K11*K$66)^1.85)," "))</f>
        <v>675</v>
      </c>
      <c r="L12" s="176"/>
      <c r="M12" s="177">
        <f>SUM(B12:K12)</f>
        <v>6010</v>
      </c>
      <c r="N12" s="121"/>
      <c r="O12" s="132">
        <f>MAX(B12:K12)</f>
        <v>810</v>
      </c>
      <c r="P12" s="133">
        <f>SUM(B12,F12,G12,K12)</f>
        <v>2341</v>
      </c>
      <c r="Q12" s="134">
        <f>SUM(C12,E12,I12)</f>
        <v>1997</v>
      </c>
      <c r="R12" s="135">
        <f>SUM(D12,H12,J12)</f>
        <v>1672</v>
      </c>
      <c r="S12" s="131" t="str">
        <f>IF(S11=0," ",IF(S11&lt;99.46,TRUNC(1.53775*(82-S11*S$65)^1.81)," "))</f>
        <v> </v>
      </c>
      <c r="T12" s="131" t="str">
        <f>IF(T11=0," ",IF(T11&lt;31,TRUNC(5.74352*(28.5-T11*T$65)^1.92)," "))</f>
        <v> </v>
      </c>
      <c r="U12" s="131" t="str">
        <f>IF(U11&gt;3.7,TRUNC(12.91*(U11*U$65-4)^1.1)," ")</f>
        <v> </v>
      </c>
      <c r="V12" s="131" t="str">
        <f>IF(V11&gt;69,TRUNC(0.2797*(V11*V$65-100)^1.35)," ")</f>
        <v> </v>
      </c>
      <c r="W12" s="131" t="str">
        <f>IF(W11&gt;4.8,TRUNC(10.14*(W11*W$65-7)^1.08)," ")</f>
        <v> </v>
      </c>
      <c r="X12" s="178" t="str">
        <f>IF(X11=0," ",IF(X11&lt;604.36,TRUNC(0.03768*(480-X11*X$65)^1.85)," "))</f>
        <v> </v>
      </c>
      <c r="Z12" s="142">
        <f>SUM(O12:X12)</f>
        <v>6820</v>
      </c>
      <c r="AA12" s="129" t="s">
        <v>129</v>
      </c>
      <c r="AB12" s="130" t="str">
        <f>IF(AB11=0," ",IF(AB11&lt;21.7,TRUNC(25.4347*(18-AB11*AB$65)^1.81)," "))</f>
        <v> </v>
      </c>
      <c r="AC12" s="131" t="str">
        <f>IF(AC11&gt;155,TRUNC(0.14354*(AC11*AC$65-220)^1.4)," ")</f>
        <v> </v>
      </c>
      <c r="AD12" s="131" t="str">
        <f>IF(AD11&gt;1.2,TRUNC(51.39*(AD11*AD$65-1.5)^1.05)," ")</f>
        <v> </v>
      </c>
      <c r="AE12" s="131" t="str">
        <f>IF(AE11&gt;55,TRUNC(0.84565*(AE11*AE$65-75)^1.42)," ")</f>
        <v> </v>
      </c>
      <c r="AF12" s="131" t="str">
        <f>IF(AF11=0," ",IF(AF11&lt;99.46,TRUNC(1.53775*(82-AF11*AF$65)^1.81)," "))</f>
        <v> </v>
      </c>
      <c r="AG12" s="131" t="str">
        <f>IF(AG11=0," ",IF(AG11&lt;31,TRUNC(5.74352*(28.5-AG11*AG$65)^1.92)," "))</f>
        <v> </v>
      </c>
      <c r="AH12" s="131" t="str">
        <f>IF(AH11&gt;3.7,TRUNC(12.91*(AH11*AH$65-4)^1.1)," ")</f>
        <v> </v>
      </c>
      <c r="AI12" s="131" t="str">
        <f>IF(AI11&gt;69,TRUNC(0.2797*(AI11*AI$65-100)^1.35)," ")</f>
        <v> </v>
      </c>
      <c r="AJ12" s="131" t="str">
        <f>IF(AJ11&gt;4.8,TRUNC(10.14*(AJ11*AJ$65-7)^1.08)," ")</f>
        <v> </v>
      </c>
      <c r="AK12" s="178" t="str">
        <f>IF(AK11=0," ",IF(AK11&lt;604.36,TRUNC(0.03768*(480-AK11*AK$65)^1.85)," "))</f>
        <v> </v>
      </c>
      <c r="AM12" s="142">
        <f>SUM(AB12:AK12)</f>
        <v>0</v>
      </c>
      <c r="AN12" s="129" t="s">
        <v>129</v>
      </c>
      <c r="AO12" s="130" t="str">
        <f>IF(AO11=0," ",IF(AO11&lt;21.7,TRUNC(25.4347*(18-AO11*AO$65)^1.81)," "))</f>
        <v> </v>
      </c>
      <c r="AP12" s="131" t="str">
        <f>IF(AP11&gt;155,TRUNC(0.14354*(AP11*AP$65-220)^1.4)," ")</f>
        <v> </v>
      </c>
      <c r="AQ12" s="131" t="str">
        <f>IF(AQ11&gt;1.2,TRUNC(51.39*(AQ11*AQ$65-1.5)^1.05)," ")</f>
        <v> </v>
      </c>
      <c r="AR12" s="131" t="str">
        <f>IF(AR11&gt;55,TRUNC(0.84565*(AR11*AR$65-75)^1.42)," ")</f>
        <v> </v>
      </c>
      <c r="AS12" s="131" t="str">
        <f>IF(AS11=0," ",IF(AS11&lt;99.46,TRUNC(1.53775*(82-AS11*AS$65)^1.81)," "))</f>
        <v> </v>
      </c>
      <c r="AT12" s="131" t="str">
        <f>IF(AT11=0," ",IF(AT11&lt;31,TRUNC(5.74352*(28.5-AT11*AT$65)^1.92)," "))</f>
        <v> </v>
      </c>
      <c r="AU12" s="131" t="str">
        <f>IF(AU11&gt;3.7,TRUNC(12.91*(AU11*AU$65-4)^1.1)," ")</f>
        <v> </v>
      </c>
      <c r="AV12" s="131" t="str">
        <f>IF(AV11&gt;69,TRUNC(0.2797*(AV11*AV$65-100)^1.35)," ")</f>
        <v> </v>
      </c>
      <c r="AW12" s="131" t="str">
        <f>IF(AW11&gt;4.8,TRUNC(10.14*(AW11*AW$65-7)^1.08)," ")</f>
        <v> </v>
      </c>
      <c r="AX12" s="178" t="str">
        <f>IF(AX11=0," ",IF(AX11&lt;604.36,TRUNC(0.03768*(480-AX11*AX$65)^1.85)," "))</f>
        <v> </v>
      </c>
      <c r="AZ12" s="142">
        <f>SUM(AO12:AX12)</f>
        <v>0</v>
      </c>
      <c r="BA12" s="129" t="s">
        <v>129</v>
      </c>
      <c r="BB12" s="130" t="str">
        <f>IF(BB11=0," ",IF(BB11&lt;21.7,TRUNC(25.4347*(18-BB11*BB$65)^1.81)," "))</f>
        <v> </v>
      </c>
      <c r="BC12" s="131" t="str">
        <f>IF(BC11&gt;155,TRUNC(0.14354*(BC11*BC$65-220)^1.4)," ")</f>
        <v> </v>
      </c>
      <c r="BD12" s="131" t="str">
        <f>IF(BD11&gt;1.2,TRUNC(51.39*(BD11*BD$65-1.5)^1.05)," ")</f>
        <v> </v>
      </c>
      <c r="BE12" s="131" t="str">
        <f>IF(BE11&gt;55,TRUNC(0.84565*(BE11*BE$65-75)^1.42)," ")</f>
        <v> </v>
      </c>
      <c r="BF12" s="131" t="str">
        <f>IF(BF11=0," ",IF(BF11&lt;99.46,TRUNC(1.53775*(82-BF11*BF$65)^1.81)," "))</f>
        <v> </v>
      </c>
      <c r="BG12" s="131" t="str">
        <f>IF(BG11=0," ",IF(BG11&lt;31,TRUNC(5.74352*(28.5-BG11*BG$65)^1.92)," "))</f>
        <v> </v>
      </c>
      <c r="BH12" s="131" t="str">
        <f>IF(BH11&gt;3.7,TRUNC(12.91*(BH11*BH$65-4)^1.1)," ")</f>
        <v> </v>
      </c>
      <c r="BI12" s="131" t="str">
        <f>IF(BI11&gt;69,TRUNC(0.2797*(BI11*BI$65-100)^1.35)," ")</f>
        <v> </v>
      </c>
      <c r="BJ12" s="131" t="str">
        <f>IF(BJ11&gt;4.8,TRUNC(10.14*(BJ11*BJ$65-7)^1.08)," ")</f>
        <v> </v>
      </c>
      <c r="BK12" s="178" t="str">
        <f>IF(BK11=0," ",IF(BK11&lt;604.36,TRUNC(0.03768*(480-BK11*BK$65)^1.85)," "))</f>
        <v> </v>
      </c>
      <c r="BM12" s="142">
        <f>SUM(BB12:BK12)</f>
        <v>0</v>
      </c>
      <c r="BN12" s="129" t="s">
        <v>129</v>
      </c>
      <c r="BO12" s="130" t="str">
        <f>IF(BO11=0," ",IF(BO11&lt;21.7,TRUNC(25.4347*(18-BO11*BO$65)^1.81)," "))</f>
        <v> </v>
      </c>
      <c r="BP12" s="131" t="str">
        <f>IF(BP11&gt;155,TRUNC(0.14354*(BP11*BP$65-220)^1.4)," ")</f>
        <v> </v>
      </c>
      <c r="BQ12" s="131" t="str">
        <f>IF(BQ11&gt;1.2,TRUNC(51.39*(BQ11*BQ$65-1.5)^1.05)," ")</f>
        <v> </v>
      </c>
      <c r="BR12" s="131" t="str">
        <f>IF(BR11&gt;55,TRUNC(0.84565*(BR11*BR$65-75)^1.42)," ")</f>
        <v> </v>
      </c>
      <c r="BS12" s="131" t="str">
        <f>IF(BS11=0," ",IF(BS11&lt;99.46,TRUNC(1.53775*(82-BS11*BS$65)^1.81)," "))</f>
        <v> </v>
      </c>
      <c r="BT12" s="131" t="str">
        <f>IF(BT11=0," ",IF(BT11&lt;31,TRUNC(5.74352*(28.5-BT11*BT$65)^1.92)," "))</f>
        <v> </v>
      </c>
      <c r="BU12" s="131" t="str">
        <f>IF(BU11&gt;3.7,TRUNC(12.91*(BU11*BU$65-4)^1.1)," ")</f>
        <v> </v>
      </c>
      <c r="BV12" s="131" t="str">
        <f>IF(BV11&gt;69,TRUNC(0.2797*(BV11*BV$65-100)^1.35)," ")</f>
        <v> </v>
      </c>
      <c r="BW12" s="131" t="str">
        <f>IF(BW11&gt;4.8,TRUNC(10.14*(BW11*BW$65-7)^1.08)," ")</f>
        <v> </v>
      </c>
      <c r="BX12" s="178" t="str">
        <f>IF(BX11=0," ",IF(BX11&lt;604.36,TRUNC(0.03768*(480-BX11*BX$65)^1.85)," "))</f>
        <v> </v>
      </c>
      <c r="BZ12" s="142">
        <f>SUM(BO12:BX12)</f>
        <v>0</v>
      </c>
      <c r="CA12" s="129" t="s">
        <v>129</v>
      </c>
      <c r="CB12" s="130" t="str">
        <f>IF(CB11=0," ",IF(CB11&lt;21.7,TRUNC(25.4347*(18-CB11*CB$65)^1.81)," "))</f>
        <v> </v>
      </c>
      <c r="CC12" s="131" t="str">
        <f>IF(CC11&gt;155,TRUNC(0.14354*(CC11*CC$65-220)^1.4)," ")</f>
        <v> </v>
      </c>
      <c r="CD12" s="131" t="str">
        <f>IF(CD11&gt;1.2,TRUNC(51.39*(CD11*CD$65-1.5)^1.05)," ")</f>
        <v> </v>
      </c>
      <c r="CE12" s="131" t="str">
        <f>IF(CE11&gt;55,TRUNC(0.84565*(CE11*CE$65-75)^1.42)," ")</f>
        <v> </v>
      </c>
      <c r="CF12" s="131" t="str">
        <f>IF(CF11=0," ",IF(CF11&lt;99.46,TRUNC(1.53775*(82-CF11*CF$65)^1.81)," "))</f>
        <v> </v>
      </c>
      <c r="CG12" s="131" t="str">
        <f>IF(CG11=0," ",IF(CG11&lt;31,TRUNC(5.74352*(28.5-CG11*CG$65)^1.92)," "))</f>
        <v> </v>
      </c>
      <c r="CH12" s="131" t="str">
        <f>IF(CH11&gt;3.7,TRUNC(12.91*(CH11*CH$65-4)^1.1)," ")</f>
        <v> </v>
      </c>
      <c r="CI12" s="131" t="str">
        <f>IF(CI11&gt;69,TRUNC(0.2797*(CI11*CI$65-100)^1.35)," ")</f>
        <v> </v>
      </c>
      <c r="CJ12" s="131" t="str">
        <f>IF(CJ11&gt;4.8,TRUNC(10.14*(CJ11*CJ$65-7)^1.08)," ")</f>
        <v> </v>
      </c>
      <c r="CK12" s="178" t="str">
        <f>IF(CK11=0," ",IF(CK11&lt;604.36,TRUNC(0.03768*(480-CK11*CK$65)^1.85)," "))</f>
        <v> </v>
      </c>
      <c r="CM12" s="142">
        <f>SUM(CB12:CK12)</f>
        <v>0</v>
      </c>
      <c r="CN12" s="129" t="s">
        <v>129</v>
      </c>
      <c r="CO12" s="130" t="str">
        <f>IF(CO11=0," ",IF(CO11&lt;21.7,TRUNC(25.4347*(18-CO11*CO$65)^1.81)," "))</f>
        <v> </v>
      </c>
      <c r="CP12" s="131" t="str">
        <f>IF(CP11&gt;155,TRUNC(0.14354*(CP11*CP$65-220)^1.4)," ")</f>
        <v> </v>
      </c>
      <c r="CQ12" s="131" t="str">
        <f>IF(CQ11&gt;1.2,TRUNC(51.39*(CQ11*CQ$65-1.5)^1.05)," ")</f>
        <v> </v>
      </c>
      <c r="CR12" s="131" t="str">
        <f>IF(CR11&gt;55,TRUNC(0.84565*(CR11*CR$65-75)^1.42)," ")</f>
        <v> </v>
      </c>
      <c r="CS12" s="131" t="str">
        <f>IF(CS11=0," ",IF(CS11&lt;99.46,TRUNC(1.53775*(82-CS11*CS$65)^1.81)," "))</f>
        <v> </v>
      </c>
      <c r="CT12" s="131" t="str">
        <f>IF(CT11=0," ",IF(CT11&lt;31,TRUNC(5.74352*(28.5-CT11*CT$65)^1.92)," "))</f>
        <v> </v>
      </c>
      <c r="CU12" s="131" t="str">
        <f>IF(CU11&gt;3.7,TRUNC(12.91*(CU11*CU$65-4)^1.1)," ")</f>
        <v> </v>
      </c>
      <c r="CV12" s="131" t="str">
        <f>IF(CV11&gt;69,TRUNC(0.2797*(CV11*CV$65-100)^1.35)," ")</f>
        <v> </v>
      </c>
      <c r="CW12" s="131" t="str">
        <f>IF(CW11&gt;4.8,TRUNC(10.14*(CW11*CW$65-7)^1.08)," ")</f>
        <v> </v>
      </c>
      <c r="CX12" s="178" t="str">
        <f>IF(CX11=0," ",IF(CX11&lt;604.36,TRUNC(0.03768*(480-CX11*CX$65)^1.85)," "))</f>
        <v> </v>
      </c>
      <c r="CZ12" s="142">
        <f>SUM(CO12:CX12)</f>
        <v>0</v>
      </c>
      <c r="DA12" s="129" t="s">
        <v>129</v>
      </c>
      <c r="DB12" s="130" t="str">
        <f>IF(DB11=0," ",IF(DB11&lt;21.7,TRUNC(25.4347*(18-DB11*DB$65)^1.81)," "))</f>
        <v> </v>
      </c>
      <c r="DC12" s="131" t="str">
        <f>IF(DC11&gt;155,TRUNC(0.14354*(DC11*DC$65-220)^1.4)," ")</f>
        <v> </v>
      </c>
      <c r="DD12" s="131" t="str">
        <f>IF(DD11&gt;1.2,TRUNC(51.39*(DD11*DD$65-1.5)^1.05)," ")</f>
        <v> </v>
      </c>
      <c r="DE12" s="131" t="str">
        <f>IF(DE11&gt;55,TRUNC(0.84565*(DE11*DE$65-75)^1.42)," ")</f>
        <v> </v>
      </c>
      <c r="DF12" s="131" t="str">
        <f>IF(DF11=0," ",IF(DF11&lt;99.46,TRUNC(1.53775*(82-DF11*DF$65)^1.81)," "))</f>
        <v> </v>
      </c>
      <c r="DG12" s="131" t="str">
        <f>IF(DG11=0," ",IF(DG11&lt;31,TRUNC(5.74352*(28.5-DG11*DG$65)^1.92)," "))</f>
        <v> </v>
      </c>
      <c r="DH12" s="131" t="str">
        <f>IF(DH11&gt;3.7,TRUNC(12.91*(DH11*DH$65-4)^1.1)," ")</f>
        <v> </v>
      </c>
      <c r="DI12" s="131" t="str">
        <f>IF(DI11&gt;69,TRUNC(0.2797*(DI11*DI$65-100)^1.35)," ")</f>
        <v> </v>
      </c>
      <c r="DJ12" s="131" t="str">
        <f>IF(DJ11&gt;4.8,TRUNC(10.14*(DJ11*DJ$65-7)^1.08)," ")</f>
        <v> </v>
      </c>
      <c r="DK12" s="178" t="str">
        <f>IF(DK11=0," ",IF(DK11&lt;604.36,TRUNC(0.03768*(480-DK11*DK$65)^1.85)," "))</f>
        <v> </v>
      </c>
      <c r="DM12" s="142">
        <f>SUM(DB12:DK12)</f>
        <v>0</v>
      </c>
      <c r="DN12" s="129" t="s">
        <v>129</v>
      </c>
      <c r="DO12" s="130" t="str">
        <f>IF(DO11=0," ",IF(DO11&lt;21.7,TRUNC(25.4347*(18-DO11*DO$65)^1.81)," "))</f>
        <v> </v>
      </c>
      <c r="DP12" s="131" t="str">
        <f>IF(DP11&gt;155,TRUNC(0.14354*(DP11*DP$65-220)^1.4)," ")</f>
        <v> </v>
      </c>
      <c r="DQ12" s="131" t="str">
        <f>IF(DQ11&gt;1.2,TRUNC(51.39*(DQ11*DQ$65-1.5)^1.05)," ")</f>
        <v> </v>
      </c>
      <c r="DR12" s="131" t="str">
        <f>IF(DR11&gt;55,TRUNC(0.84565*(DR11*DR$65-75)^1.42)," ")</f>
        <v> </v>
      </c>
      <c r="DS12" s="131" t="str">
        <f>IF(DS11=0," ",IF(DS11&lt;99.46,TRUNC(1.53775*(82-DS11*DS$65)^1.81)," "))</f>
        <v> </v>
      </c>
      <c r="DT12" s="131" t="str">
        <f>IF(DT11=0," ",IF(DT11&lt;31,TRUNC(5.74352*(28.5-DT11*DT$65)^1.92)," "))</f>
        <v> </v>
      </c>
      <c r="DU12" s="131" t="str">
        <f>IF(DU11&gt;3.7,TRUNC(12.91*(DU11*DU$65-4)^1.1)," ")</f>
        <v> </v>
      </c>
      <c r="DV12" s="131" t="str">
        <f>IF(DV11&gt;69,TRUNC(0.2797*(DV11*DV$65-100)^1.35)," ")</f>
        <v> </v>
      </c>
      <c r="DW12" s="131" t="str">
        <f>IF(DW11&gt;4.8,TRUNC(10.14*(DW11*DW$65-7)^1.08)," ")</f>
        <v> </v>
      </c>
      <c r="DX12" s="178" t="str">
        <f>IF(DX11=0," ",IF(DX11&lt;604.36,TRUNC(0.03768*(480-DX11*DX$65)^1.85)," "))</f>
        <v> </v>
      </c>
      <c r="DZ12" s="142">
        <f>SUM(DO12:DX12)</f>
        <v>0</v>
      </c>
      <c r="EA12" s="129" t="s">
        <v>129</v>
      </c>
      <c r="EB12" s="130" t="str">
        <f>IF(EB11=0," ",IF(EB11&lt;21.7,TRUNC(25.4347*(18-EB11*EB$65)^1.81)," "))</f>
        <v> </v>
      </c>
      <c r="EC12" s="131" t="str">
        <f>IF(EC11&gt;155,TRUNC(0.14354*(EC11*EC$65-220)^1.4)," ")</f>
        <v> </v>
      </c>
      <c r="ED12" s="131" t="str">
        <f>IF(ED11&gt;1.2,TRUNC(51.39*(ED11*ED$65-1.5)^1.05)," ")</f>
        <v> </v>
      </c>
      <c r="EE12" s="131" t="str">
        <f>IF(EE11&gt;55,TRUNC(0.84565*(EE11*EE$65-75)^1.42)," ")</f>
        <v> </v>
      </c>
      <c r="EF12" s="131" t="str">
        <f>IF(EF11=0," ",IF(EF11&lt;99.46,TRUNC(1.53775*(82-EF11*EF$65)^1.81)," "))</f>
        <v> </v>
      </c>
      <c r="EG12" s="131" t="str">
        <f>IF(EG11=0," ",IF(EG11&lt;31,TRUNC(5.74352*(28.5-EG11*EG$65)^1.92)," "))</f>
        <v> </v>
      </c>
      <c r="EH12" s="131" t="str">
        <f>IF(EH11&gt;3.7,TRUNC(12.91*(EH11*EH$65-4)^1.1)," ")</f>
        <v> </v>
      </c>
      <c r="EI12" s="131" t="str">
        <f>IF(EI11&gt;69,TRUNC(0.2797*(EI11*EI$65-100)^1.35)," ")</f>
        <v> </v>
      </c>
      <c r="EJ12" s="131" t="str">
        <f>IF(EJ11&gt;4.8,TRUNC(10.14*(EJ11*EJ$65-7)^1.08)," ")</f>
        <v> </v>
      </c>
      <c r="EK12" s="178" t="str">
        <f>IF(EK11=0," ",IF(EK11&lt;604.36,TRUNC(0.03768*(480-EK11*EK$65)^1.85)," "))</f>
        <v> </v>
      </c>
      <c r="EM12" s="142">
        <f>SUM(EB12:EK12)</f>
        <v>0</v>
      </c>
      <c r="EN12" s="129" t="s">
        <v>129</v>
      </c>
      <c r="EO12" s="130" t="str">
        <f>IF(EO11=0," ",IF(EO11&lt;21.7,TRUNC(25.4347*(18-EO11*EO$65)^1.81)," "))</f>
        <v> </v>
      </c>
      <c r="EP12" s="131" t="str">
        <f>IF(EP11&gt;155,TRUNC(0.14354*(EP11*EP$65-220)^1.4)," ")</f>
        <v> </v>
      </c>
      <c r="EQ12" s="131" t="str">
        <f>IF(EQ11&gt;1.2,TRUNC(51.39*(EQ11*EQ$65-1.5)^1.05)," ")</f>
        <v> </v>
      </c>
      <c r="ER12" s="131" t="str">
        <f>IF(ER11&gt;55,TRUNC(0.84565*(ER11*ER$65-75)^1.42)," ")</f>
        <v> </v>
      </c>
      <c r="ES12" s="131" t="str">
        <f>IF(ES11=0," ",IF(ES11&lt;99.46,TRUNC(1.53775*(82-ES11*ES$65)^1.81)," "))</f>
        <v> </v>
      </c>
      <c r="ET12" s="131" t="str">
        <f>IF(ET11=0," ",IF(ET11&lt;31,TRUNC(5.74352*(28.5-ET11*ET$65)^1.92)," "))</f>
        <v> </v>
      </c>
      <c r="EU12" s="131" t="str">
        <f>IF(EU11&gt;3.7,TRUNC(12.91*(EU11*EU$65-4)^1.1)," ")</f>
        <v> </v>
      </c>
      <c r="EV12" s="131" t="str">
        <f>IF(EV11&gt;69,TRUNC(0.2797*(EV11*EV$65-100)^1.35)," ")</f>
        <v> </v>
      </c>
      <c r="EW12" s="131" t="str">
        <f>IF(EW11&gt;4.8,TRUNC(10.14*(EW11*EW$65-7)^1.08)," ")</f>
        <v> </v>
      </c>
      <c r="EX12" s="178" t="str">
        <f>IF(EX11=0," ",IF(EX11&lt;604.36,TRUNC(0.03768*(480-EX11*EX$65)^1.85)," "))</f>
        <v> </v>
      </c>
      <c r="EZ12" s="142">
        <f>SUM(EO12:EX12)</f>
        <v>0</v>
      </c>
      <c r="FA12" s="129" t="s">
        <v>129</v>
      </c>
      <c r="FB12" s="130" t="str">
        <f>IF(FB11=0," ",IF(FB11&lt;21.7,TRUNC(25.4347*(18-FB11*FB$65)^1.81)," "))</f>
        <v> </v>
      </c>
      <c r="FC12" s="131" t="str">
        <f>IF(FC11&gt;155,TRUNC(0.14354*(FC11*FC$65-220)^1.4)," ")</f>
        <v> </v>
      </c>
      <c r="FD12" s="131" t="str">
        <f>IF(FD11&gt;1.2,TRUNC(51.39*(FD11*FD$65-1.5)^1.05)," ")</f>
        <v> </v>
      </c>
      <c r="FE12" s="131" t="str">
        <f>IF(FE11&gt;55,TRUNC(0.84565*(FE11*FE$65-75)^1.42)," ")</f>
        <v> </v>
      </c>
      <c r="FF12" s="131" t="str">
        <f>IF(FF11=0," ",IF(FF11&lt;99.46,TRUNC(1.53775*(82-FF11*FF$65)^1.81)," "))</f>
        <v> </v>
      </c>
      <c r="FG12" s="131" t="str">
        <f>IF(FG11=0," ",IF(FG11&lt;31,TRUNC(5.74352*(28.5-FG11*FG$65)^1.92)," "))</f>
        <v> </v>
      </c>
      <c r="FH12" s="131" t="str">
        <f>IF(FH11&gt;3.7,TRUNC(12.91*(FH11*FH$65-4)^1.1)," ")</f>
        <v> </v>
      </c>
      <c r="FI12" s="131" t="str">
        <f>IF(FI11&gt;69,TRUNC(0.2797*(FI11*FI$65-100)^1.35)," ")</f>
        <v> </v>
      </c>
      <c r="FJ12" s="131" t="str">
        <f>IF(FJ11&gt;4.8,TRUNC(10.14*(FJ11*FJ$65-7)^1.08)," ")</f>
        <v> </v>
      </c>
      <c r="FK12" s="178" t="str">
        <f>IF(FK11=0," ",IF(FK11&lt;604.36,TRUNC(0.03768*(480-FK11*FK$65)^1.85)," "))</f>
        <v> </v>
      </c>
      <c r="FM12" s="142">
        <f>SUM(FB12:FK12)</f>
        <v>0</v>
      </c>
      <c r="FN12" s="129" t="s">
        <v>129</v>
      </c>
      <c r="FO12" s="130" t="str">
        <f>IF(FO11=0," ",IF(FO11&lt;21.7,TRUNC(25.4347*(18-FO11*FO$65)^1.81)," "))</f>
        <v> </v>
      </c>
      <c r="FP12" s="131" t="str">
        <f>IF(FP11&gt;155,TRUNC(0.14354*(FP11*FP$65-220)^1.4)," ")</f>
        <v> </v>
      </c>
      <c r="FQ12" s="131" t="str">
        <f>IF(FQ11&gt;1.2,TRUNC(51.39*(FQ11*FQ$65-1.5)^1.05)," ")</f>
        <v> </v>
      </c>
      <c r="FR12" s="131" t="str">
        <f>IF(FR11&gt;55,TRUNC(0.84565*(FR11*FR$65-75)^1.42)," ")</f>
        <v> </v>
      </c>
      <c r="FS12" s="131" t="str">
        <f>IF(FS11=0," ",IF(FS11&lt;99.46,TRUNC(1.53775*(82-FS11*FS$65)^1.81)," "))</f>
        <v> </v>
      </c>
      <c r="FT12" s="131" t="str">
        <f>IF(FT11=0," ",IF(FT11&lt;31,TRUNC(5.74352*(28.5-FT11*FT$65)^1.92)," "))</f>
        <v> </v>
      </c>
      <c r="FU12" s="131" t="str">
        <f>IF(FU11&gt;3.7,TRUNC(12.91*(FU11*FU$65-4)^1.1)," ")</f>
        <v> </v>
      </c>
      <c r="FV12" s="131" t="str">
        <f>IF(FV11&gt;69,TRUNC(0.2797*(FV11*FV$65-100)^1.35)," ")</f>
        <v> </v>
      </c>
      <c r="FW12" s="131" t="str">
        <f>IF(FW11&gt;4.8,TRUNC(10.14*(FW11*FW$65-7)^1.08)," ")</f>
        <v> </v>
      </c>
      <c r="FX12" s="178" t="str">
        <f>IF(FX11=0," ",IF(FX11&lt;604.36,TRUNC(0.03768*(480-FX11*FX$65)^1.85)," "))</f>
        <v> </v>
      </c>
      <c r="FZ12" s="142">
        <f>SUM(FO12:FX12)</f>
        <v>0</v>
      </c>
      <c r="GA12" s="129" t="s">
        <v>129</v>
      </c>
      <c r="GB12" s="130" t="str">
        <f>IF(GB11=0," ",IF(GB11&lt;21.7,TRUNC(25.4347*(18-GB11*GB$65)^1.81)," "))</f>
        <v> </v>
      </c>
      <c r="GC12" s="131" t="str">
        <f>IF(GC11&gt;155,TRUNC(0.14354*(GC11*GC$65-220)^1.4)," ")</f>
        <v> </v>
      </c>
      <c r="GD12" s="131" t="str">
        <f>IF(GD11&gt;1.2,TRUNC(51.39*(GD11*GD$65-1.5)^1.05)," ")</f>
        <v> </v>
      </c>
      <c r="GE12" s="131" t="str">
        <f>IF(GE11&gt;55,TRUNC(0.84565*(GE11*GE$65-75)^1.42)," ")</f>
        <v> </v>
      </c>
      <c r="GF12" s="131" t="str">
        <f>IF(GF11=0," ",IF(GF11&lt;99.46,TRUNC(1.53775*(82-GF11*GF$65)^1.81)," "))</f>
        <v> </v>
      </c>
      <c r="GG12" s="131" t="str">
        <f>IF(GG11=0," ",IF(GG11&lt;31,TRUNC(5.74352*(28.5-GG11*GG$65)^1.92)," "))</f>
        <v> </v>
      </c>
      <c r="GH12" s="131" t="str">
        <f>IF(GH11&gt;3.7,TRUNC(12.91*(GH11*GH$65-4)^1.1)," ")</f>
        <v> </v>
      </c>
      <c r="GI12" s="131" t="str">
        <f>IF(GI11&gt;69,TRUNC(0.2797*(GI11*GI$65-100)^1.35)," ")</f>
        <v> </v>
      </c>
      <c r="GJ12" s="131" t="str">
        <f>IF(GJ11&gt;4.8,TRUNC(10.14*(GJ11*GJ$65-7)^1.08)," ")</f>
        <v> </v>
      </c>
      <c r="GK12" s="178" t="str">
        <f>IF(GK11=0," ",IF(GK11&lt;604.36,TRUNC(0.03768*(480-GK11*GK$65)^1.85)," "))</f>
        <v> </v>
      </c>
      <c r="GM12" s="142">
        <f>SUM(GB12:GK12)</f>
        <v>0</v>
      </c>
      <c r="GN12" s="129" t="s">
        <v>129</v>
      </c>
      <c r="GO12" s="130" t="str">
        <f>IF(GO11=0," ",IF(GO11&lt;21.7,TRUNC(25.4347*(18-GO11*GO$65)^1.81)," "))</f>
        <v> </v>
      </c>
      <c r="GP12" s="131" t="str">
        <f>IF(GP11&gt;155,TRUNC(0.14354*(GP11*GP$65-220)^1.4)," ")</f>
        <v> </v>
      </c>
      <c r="GQ12" s="131" t="str">
        <f>IF(GQ11&gt;1.2,TRUNC(51.39*(GQ11*GQ$65-1.5)^1.05)," ")</f>
        <v> </v>
      </c>
      <c r="GR12" s="131" t="str">
        <f>IF(GR11&gt;55,TRUNC(0.84565*(GR11*GR$65-75)^1.42)," ")</f>
        <v> </v>
      </c>
      <c r="GS12" s="131" t="str">
        <f>IF(GS11=0," ",IF(GS11&lt;99.46,TRUNC(1.53775*(82-GS11*GS$65)^1.81)," "))</f>
        <v> </v>
      </c>
      <c r="GT12" s="131" t="str">
        <f>IF(GT11=0," ",IF(GT11&lt;31,TRUNC(5.74352*(28.5-GT11*GT$65)^1.92)," "))</f>
        <v> </v>
      </c>
      <c r="GU12" s="131" t="str">
        <f>IF(GU11&gt;3.7,TRUNC(12.91*(GU11*GU$65-4)^1.1)," ")</f>
        <v> </v>
      </c>
      <c r="GV12" s="131" t="str">
        <f>IF(GV11&gt;69,TRUNC(0.2797*(GV11*GV$65-100)^1.35)," ")</f>
        <v> </v>
      </c>
      <c r="GW12" s="131" t="str">
        <f>IF(GW11&gt;4.8,TRUNC(10.14*(GW11*GW$65-7)^1.08)," ")</f>
        <v> </v>
      </c>
      <c r="GX12" s="178" t="str">
        <f>IF(GX11=0," ",IF(GX11&lt;604.36,TRUNC(0.03768*(480-GX11*GX$65)^1.85)," "))</f>
        <v> </v>
      </c>
      <c r="GZ12" s="142">
        <f>SUM(GO12:GX12)</f>
        <v>0</v>
      </c>
      <c r="HA12" s="129" t="s">
        <v>129</v>
      </c>
      <c r="HB12" s="130" t="str">
        <f>IF(HB11=0," ",IF(HB11&lt;21.7,TRUNC(25.4347*(18-HB11*HB$65)^1.81)," "))</f>
        <v> </v>
      </c>
      <c r="HC12" s="131" t="str">
        <f>IF(HC11&gt;155,TRUNC(0.14354*(HC11*HC$65-220)^1.4)," ")</f>
        <v> </v>
      </c>
      <c r="HD12" s="131" t="str">
        <f>IF(HD11&gt;1.2,TRUNC(51.39*(HD11*HD$65-1.5)^1.05)," ")</f>
        <v> </v>
      </c>
      <c r="HE12" s="131" t="str">
        <f>IF(HE11&gt;55,TRUNC(0.84565*(HE11*HE$65-75)^1.42)," ")</f>
        <v> </v>
      </c>
      <c r="HF12" s="131" t="str">
        <f>IF(HF11=0," ",IF(HF11&lt;99.46,TRUNC(1.53775*(82-HF11*HF$65)^1.81)," "))</f>
        <v> </v>
      </c>
      <c r="HG12" s="131" t="str">
        <f>IF(HG11=0," ",IF(HG11&lt;31,TRUNC(5.74352*(28.5-HG11*HG$65)^1.92)," "))</f>
        <v> </v>
      </c>
      <c r="HH12" s="131" t="str">
        <f>IF(HH11&gt;3.7,TRUNC(12.91*(HH11*HH$65-4)^1.1)," ")</f>
        <v> </v>
      </c>
      <c r="HI12" s="131" t="str">
        <f>IF(HI11&gt;69,TRUNC(0.2797*(HI11*HI$65-100)^1.35)," ")</f>
        <v> </v>
      </c>
      <c r="HJ12" s="131" t="str">
        <f>IF(HJ11&gt;4.8,TRUNC(10.14*(HJ11*HJ$65-7)^1.08)," ")</f>
        <v> </v>
      </c>
      <c r="HK12" s="178" t="str">
        <f>IF(HK11=0," ",IF(HK11&lt;604.36,TRUNC(0.03768*(480-HK11*HK$65)^1.85)," "))</f>
        <v> </v>
      </c>
      <c r="HM12" s="142">
        <f>SUM(HB12:HK12)</f>
        <v>0</v>
      </c>
      <c r="HN12" s="129" t="s">
        <v>129</v>
      </c>
      <c r="HO12" s="130" t="str">
        <f>IF(HO11=0," ",IF(HO11&lt;21.7,TRUNC(25.4347*(18-HO11*HO$65)^1.81)," "))</f>
        <v> </v>
      </c>
      <c r="HP12" s="131" t="str">
        <f>IF(HP11&gt;155,TRUNC(0.14354*(HP11*HP$65-220)^1.4)," ")</f>
        <v> </v>
      </c>
      <c r="HQ12" s="131" t="str">
        <f>IF(HQ11&gt;1.2,TRUNC(51.39*(HQ11*HQ$65-1.5)^1.05)," ")</f>
        <v> </v>
      </c>
      <c r="HR12" s="131" t="str">
        <f>IF(HR11&gt;55,TRUNC(0.84565*(HR11*HR$65-75)^1.42)," ")</f>
        <v> </v>
      </c>
      <c r="HS12" s="131" t="str">
        <f>IF(HS11=0," ",IF(HS11&lt;99.46,TRUNC(1.53775*(82-HS11*HS$65)^1.81)," "))</f>
        <v> </v>
      </c>
      <c r="HT12" s="131" t="str">
        <f>IF(HT11=0," ",IF(HT11&lt;31,TRUNC(5.74352*(28.5-HT11*HT$65)^1.92)," "))</f>
        <v> </v>
      </c>
      <c r="HU12" s="131" t="str">
        <f>IF(HU11&gt;3.7,TRUNC(12.91*(HU11*HU$65-4)^1.1)," ")</f>
        <v> </v>
      </c>
      <c r="HV12" s="131" t="str">
        <f>IF(HV11&gt;69,TRUNC(0.2797*(HV11*HV$65-100)^1.35)," ")</f>
        <v> </v>
      </c>
      <c r="HW12" s="131" t="str">
        <f>IF(HW11&gt;4.8,TRUNC(10.14*(HW11*HW$65-7)^1.08)," ")</f>
        <v> </v>
      </c>
      <c r="HX12" s="178" t="str">
        <f>IF(HX11=0," ",IF(HX11&lt;604.36,TRUNC(0.03768*(480-HX11*HX$65)^1.85)," "))</f>
        <v> </v>
      </c>
      <c r="HZ12" s="142">
        <f>SUM(HO12:HX12)</f>
        <v>0</v>
      </c>
      <c r="IA12" s="129" t="s">
        <v>129</v>
      </c>
      <c r="IB12" s="130" t="str">
        <f>IF(IB11=0," ",IF(IB11&lt;21.7,TRUNC(25.4347*(18-IB11*IB$65)^1.81)," "))</f>
        <v> </v>
      </c>
      <c r="IC12" s="131" t="str">
        <f>IF(IC11&gt;155,TRUNC(0.14354*(IC11*IC$65-220)^1.4)," ")</f>
        <v> </v>
      </c>
      <c r="ID12" s="131" t="str">
        <f>IF(ID11&gt;1.2,TRUNC(51.39*(ID11*ID$65-1.5)^1.05)," ")</f>
        <v> </v>
      </c>
      <c r="IE12" s="131" t="str">
        <f>IF(IE11&gt;55,TRUNC(0.84565*(IE11*IE$65-75)^1.42)," ")</f>
        <v> </v>
      </c>
      <c r="IF12" s="131" t="str">
        <f>IF(IF11=0," ",IF(IF11&lt;99.46,TRUNC(1.53775*(82-IF11*IF$65)^1.81)," "))</f>
        <v> </v>
      </c>
      <c r="IG12" s="131" t="str">
        <f>IF(IG11=0," ",IF(IG11&lt;31,TRUNC(5.74352*(28.5-IG11*IG$65)^1.92)," "))</f>
        <v> </v>
      </c>
      <c r="IH12" s="131" t="str">
        <f>IF(IH11&gt;3.7,TRUNC(12.91*(IH11*IH$65-4)^1.1)," ")</f>
        <v> </v>
      </c>
      <c r="II12" s="131" t="str">
        <f>IF(II11&gt;69,TRUNC(0.2797*(II11*II$65-100)^1.35)," ")</f>
        <v> </v>
      </c>
      <c r="IJ12" s="131" t="str">
        <f>IF(IJ11&gt;4.8,TRUNC(10.14*(IJ11*IJ$65-7)^1.08)," ")</f>
        <v> </v>
      </c>
      <c r="IK12" s="178" t="str">
        <f>IF(IK11=0," ",IF(IK11&lt;604.36,TRUNC(0.03768*(480-IK11*IK$65)^1.85)," "))</f>
        <v> </v>
      </c>
      <c r="IM12" s="142">
        <f>SUM(IB12:IK12)</f>
        <v>0</v>
      </c>
      <c r="IN12" s="129" t="s">
        <v>129</v>
      </c>
      <c r="IO12" s="130" t="str">
        <f>IF(IO11=0," ",IF(IO11&lt;21.7,TRUNC(25.4347*(18-IO11*IO$65)^1.81)," "))</f>
        <v> </v>
      </c>
      <c r="IP12" s="131" t="str">
        <f>IF(IP11&gt;155,TRUNC(0.14354*(IP11*IP$65-220)^1.4)," ")</f>
        <v> </v>
      </c>
      <c r="IQ12" s="131" t="str">
        <f>IF(IQ11&gt;1.2,TRUNC(51.39*(IQ11*IQ$65-1.5)^1.05)," ")</f>
        <v> </v>
      </c>
      <c r="IR12" s="131" t="str">
        <f>IF(IR11&gt;55,TRUNC(0.84565*(IR11*IR$65-75)^1.42)," ")</f>
        <v> </v>
      </c>
      <c r="IS12" s="131" t="str">
        <f>IF(IS11=0," ",IF(IS11&lt;99.46,TRUNC(1.53775*(82-IS11*IS$65)^1.81)," "))</f>
        <v> </v>
      </c>
      <c r="IT12" s="131" t="str">
        <f>IF(IT11=0," ",IF(IT11&lt;31,TRUNC(5.74352*(28.5-IT11*IT$65)^1.92)," "))</f>
        <v> </v>
      </c>
      <c r="IU12" s="131" t="str">
        <f>IF(IU11&gt;3.7,TRUNC(12.91*(IU11*IU$65-4)^1.1)," ")</f>
        <v> </v>
      </c>
      <c r="IV12" s="131" t="str">
        <f>IF(IV11&gt;69,TRUNC(0.2797*(IV11*IV$65-100)^1.35)," ")</f>
        <v> </v>
      </c>
    </row>
    <row r="13" spans="1:18" s="105" customFormat="1" ht="4.5" customHeight="1">
      <c r="A13" s="164" t="s">
        <v>49</v>
      </c>
      <c r="B13" s="165">
        <v>14.77</v>
      </c>
      <c r="C13" s="166">
        <v>420</v>
      </c>
      <c r="D13" s="167">
        <v>8.68</v>
      </c>
      <c r="E13" s="166">
        <v>125</v>
      </c>
      <c r="F13" s="167">
        <v>76.3</v>
      </c>
      <c r="G13" s="168">
        <v>21.25</v>
      </c>
      <c r="H13" s="167">
        <v>28.44</v>
      </c>
      <c r="I13" s="166">
        <v>230</v>
      </c>
      <c r="J13" s="167">
        <v>28.54</v>
      </c>
      <c r="K13" s="167">
        <v>395</v>
      </c>
      <c r="L13" s="170"/>
      <c r="M13" s="171"/>
      <c r="N13" s="128"/>
      <c r="O13" s="112"/>
      <c r="P13" s="113">
        <f>100*P14/M14</f>
        <v>38.85662431941924</v>
      </c>
      <c r="Q13" s="114">
        <f>100*Q14/M14</f>
        <v>31.560798548094375</v>
      </c>
      <c r="R13" s="115">
        <f>100*R14/M14</f>
        <v>29.58257713248639</v>
      </c>
    </row>
    <row r="14" spans="1:256" s="179" customFormat="1" ht="4.5" customHeight="1">
      <c r="A14" s="172" t="s">
        <v>108</v>
      </c>
      <c r="B14" s="173">
        <f>IF(B13=0," ",IF(B13&lt;30,TRUNC(25.4347*(18-B13*B$66)^1.81)," "))</f>
        <v>655</v>
      </c>
      <c r="C14" s="174">
        <f>IF(C13&gt;100,TRUNC(0.14354*(C13*C$66-220)^1.4)," ")</f>
        <v>670</v>
      </c>
      <c r="D14" s="174">
        <f>IF(D13&gt;1,TRUNC(51.39*(D13*D$66-1.5)^1.05)," ")</f>
        <v>595</v>
      </c>
      <c r="E14" s="174">
        <f>IF(E13&gt;50,TRUNC(0.84565*(E13*E$66-75)^1.42)," ")</f>
        <v>571</v>
      </c>
      <c r="F14" s="174">
        <f>IF(F13=0," ",IF(F13&lt;120,TRUNC(1.53775*(82-F13*F$66)^1.81)," "))</f>
        <v>420</v>
      </c>
      <c r="G14" s="175">
        <f>IF(G13=0," ",IF(G13&lt;35,TRUNC(5.74352*(28.5-G13*G$66)^1.92)," "))</f>
        <v>491</v>
      </c>
      <c r="H14" s="174">
        <f>IF(H13&gt;2,TRUNC(12.91*(H13*H$66-4)^1.1)," ")</f>
        <v>526</v>
      </c>
      <c r="I14" s="174">
        <f>IF(I13&gt;50,TRUNC(0.2797*(I13*I$66-100)^1.35)," ")</f>
        <v>498</v>
      </c>
      <c r="J14" s="174">
        <f>IF(J13&gt;3,TRUNC(10.14*(J13*J$66-7)^1.08)," ")</f>
        <v>509</v>
      </c>
      <c r="K14" s="174">
        <f>IF(K13=0," ",IF(K13&lt;800.36,TRUNC(0.03768*(480-K13*K$66)^1.85)," "))</f>
        <v>575</v>
      </c>
      <c r="L14" s="176"/>
      <c r="M14" s="177">
        <f>SUM(B14:K14)</f>
        <v>5510</v>
      </c>
      <c r="N14" s="121"/>
      <c r="O14" s="132">
        <f>MAX(B14:K14)</f>
        <v>670</v>
      </c>
      <c r="P14" s="133">
        <f>SUM(B14,F14,G14,K14)</f>
        <v>2141</v>
      </c>
      <c r="Q14" s="134">
        <f>SUM(C14,E14,I14)</f>
        <v>1739</v>
      </c>
      <c r="R14" s="135">
        <f>SUM(D14,H14,J14)</f>
        <v>1630</v>
      </c>
      <c r="S14" s="131" t="str">
        <f>IF(S13=0," ",IF(S13&lt;99.46,TRUNC(1.53775*(82-S13*S$65)^1.81)," "))</f>
        <v> </v>
      </c>
      <c r="T14" s="131" t="str">
        <f>IF(T13=0," ",IF(T13&lt;31,TRUNC(5.74352*(28.5-T13*T$65)^1.92)," "))</f>
        <v> </v>
      </c>
      <c r="U14" s="131" t="str">
        <f>IF(U13&gt;3.7,TRUNC(12.91*(U13*U$65-4)^1.1)," ")</f>
        <v> </v>
      </c>
      <c r="V14" s="131" t="str">
        <f>IF(V13&gt;69,TRUNC(0.2797*(V13*V$65-100)^1.35)," ")</f>
        <v> </v>
      </c>
      <c r="W14" s="131" t="str">
        <f>IF(W13&gt;4.8,TRUNC(10.14*(W13*W$65-7)^1.08)," ")</f>
        <v> </v>
      </c>
      <c r="X14" s="178" t="str">
        <f>IF(X13=0," ",IF(X13&lt;604.36,TRUNC(0.03768*(480-X13*X$65)^1.85)," "))</f>
        <v> </v>
      </c>
      <c r="Z14" s="142">
        <f>SUM(O14:X14)</f>
        <v>6180</v>
      </c>
      <c r="AA14" s="129" t="s">
        <v>129</v>
      </c>
      <c r="AB14" s="130" t="str">
        <f>IF(AB13=0," ",IF(AB13&lt;21.7,TRUNC(25.4347*(18-AB13*AB$65)^1.81)," "))</f>
        <v> </v>
      </c>
      <c r="AC14" s="131" t="str">
        <f>IF(AC13&gt;155,TRUNC(0.14354*(AC13*AC$65-220)^1.4)," ")</f>
        <v> </v>
      </c>
      <c r="AD14" s="131" t="str">
        <f>IF(AD13&gt;1.2,TRUNC(51.39*(AD13*AD$65-1.5)^1.05)," ")</f>
        <v> </v>
      </c>
      <c r="AE14" s="131" t="str">
        <f>IF(AE13&gt;55,TRUNC(0.84565*(AE13*AE$65-75)^1.42)," ")</f>
        <v> </v>
      </c>
      <c r="AF14" s="131" t="str">
        <f>IF(AF13=0," ",IF(AF13&lt;99.46,TRUNC(1.53775*(82-AF13*AF$65)^1.81)," "))</f>
        <v> </v>
      </c>
      <c r="AG14" s="131" t="str">
        <f>IF(AG13=0," ",IF(AG13&lt;31,TRUNC(5.74352*(28.5-AG13*AG$65)^1.92)," "))</f>
        <v> </v>
      </c>
      <c r="AH14" s="131" t="str">
        <f>IF(AH13&gt;3.7,TRUNC(12.91*(AH13*AH$65-4)^1.1)," ")</f>
        <v> </v>
      </c>
      <c r="AI14" s="131" t="str">
        <f>IF(AI13&gt;69,TRUNC(0.2797*(AI13*AI$65-100)^1.35)," ")</f>
        <v> </v>
      </c>
      <c r="AJ14" s="131" t="str">
        <f>IF(AJ13&gt;4.8,TRUNC(10.14*(AJ13*AJ$65-7)^1.08)," ")</f>
        <v> </v>
      </c>
      <c r="AK14" s="178" t="str">
        <f>IF(AK13=0," ",IF(AK13&lt;604.36,TRUNC(0.03768*(480-AK13*AK$65)^1.85)," "))</f>
        <v> </v>
      </c>
      <c r="AM14" s="142">
        <f>SUM(AB14:AK14)</f>
        <v>0</v>
      </c>
      <c r="AN14" s="129" t="s">
        <v>129</v>
      </c>
      <c r="AO14" s="130" t="str">
        <f>IF(AO13=0," ",IF(AO13&lt;21.7,TRUNC(25.4347*(18-AO13*AO$65)^1.81)," "))</f>
        <v> </v>
      </c>
      <c r="AP14" s="131" t="str">
        <f>IF(AP13&gt;155,TRUNC(0.14354*(AP13*AP$65-220)^1.4)," ")</f>
        <v> </v>
      </c>
      <c r="AQ14" s="131" t="str">
        <f>IF(AQ13&gt;1.2,TRUNC(51.39*(AQ13*AQ$65-1.5)^1.05)," ")</f>
        <v> </v>
      </c>
      <c r="AR14" s="131" t="str">
        <f>IF(AR13&gt;55,TRUNC(0.84565*(AR13*AR$65-75)^1.42)," ")</f>
        <v> </v>
      </c>
      <c r="AS14" s="131" t="str">
        <f>IF(AS13=0," ",IF(AS13&lt;99.46,TRUNC(1.53775*(82-AS13*AS$65)^1.81)," "))</f>
        <v> </v>
      </c>
      <c r="AT14" s="131" t="str">
        <f>IF(AT13=0," ",IF(AT13&lt;31,TRUNC(5.74352*(28.5-AT13*AT$65)^1.92)," "))</f>
        <v> </v>
      </c>
      <c r="AU14" s="131" t="str">
        <f>IF(AU13&gt;3.7,TRUNC(12.91*(AU13*AU$65-4)^1.1)," ")</f>
        <v> </v>
      </c>
      <c r="AV14" s="131" t="str">
        <f>IF(AV13&gt;69,TRUNC(0.2797*(AV13*AV$65-100)^1.35)," ")</f>
        <v> </v>
      </c>
      <c r="AW14" s="131" t="str">
        <f>IF(AW13&gt;4.8,TRUNC(10.14*(AW13*AW$65-7)^1.08)," ")</f>
        <v> </v>
      </c>
      <c r="AX14" s="178" t="str">
        <f>IF(AX13=0," ",IF(AX13&lt;604.36,TRUNC(0.03768*(480-AX13*AX$65)^1.85)," "))</f>
        <v> </v>
      </c>
      <c r="AZ14" s="142">
        <f>SUM(AO14:AX14)</f>
        <v>0</v>
      </c>
      <c r="BA14" s="129" t="s">
        <v>129</v>
      </c>
      <c r="BB14" s="130" t="str">
        <f>IF(BB13=0," ",IF(BB13&lt;21.7,TRUNC(25.4347*(18-BB13*BB$65)^1.81)," "))</f>
        <v> </v>
      </c>
      <c r="BC14" s="131" t="str">
        <f>IF(BC13&gt;155,TRUNC(0.14354*(BC13*BC$65-220)^1.4)," ")</f>
        <v> </v>
      </c>
      <c r="BD14" s="131" t="str">
        <f>IF(BD13&gt;1.2,TRUNC(51.39*(BD13*BD$65-1.5)^1.05)," ")</f>
        <v> </v>
      </c>
      <c r="BE14" s="131" t="str">
        <f>IF(BE13&gt;55,TRUNC(0.84565*(BE13*BE$65-75)^1.42)," ")</f>
        <v> </v>
      </c>
      <c r="BF14" s="131" t="str">
        <f>IF(BF13=0," ",IF(BF13&lt;99.46,TRUNC(1.53775*(82-BF13*BF$65)^1.81)," "))</f>
        <v> </v>
      </c>
      <c r="BG14" s="131" t="str">
        <f>IF(BG13=0," ",IF(BG13&lt;31,TRUNC(5.74352*(28.5-BG13*BG$65)^1.92)," "))</f>
        <v> </v>
      </c>
      <c r="BH14" s="131" t="str">
        <f>IF(BH13&gt;3.7,TRUNC(12.91*(BH13*BH$65-4)^1.1)," ")</f>
        <v> </v>
      </c>
      <c r="BI14" s="131" t="str">
        <f>IF(BI13&gt;69,TRUNC(0.2797*(BI13*BI$65-100)^1.35)," ")</f>
        <v> </v>
      </c>
      <c r="BJ14" s="131" t="str">
        <f>IF(BJ13&gt;4.8,TRUNC(10.14*(BJ13*BJ$65-7)^1.08)," ")</f>
        <v> </v>
      </c>
      <c r="BK14" s="178" t="str">
        <f>IF(BK13=0," ",IF(BK13&lt;604.36,TRUNC(0.03768*(480-BK13*BK$65)^1.85)," "))</f>
        <v> </v>
      </c>
      <c r="BM14" s="142">
        <f>SUM(BB14:BK14)</f>
        <v>0</v>
      </c>
      <c r="BN14" s="129" t="s">
        <v>129</v>
      </c>
      <c r="BO14" s="130" t="str">
        <f>IF(BO13=0," ",IF(BO13&lt;21.7,TRUNC(25.4347*(18-BO13*BO$65)^1.81)," "))</f>
        <v> </v>
      </c>
      <c r="BP14" s="131" t="str">
        <f>IF(BP13&gt;155,TRUNC(0.14354*(BP13*BP$65-220)^1.4)," ")</f>
        <v> </v>
      </c>
      <c r="BQ14" s="131" t="str">
        <f>IF(BQ13&gt;1.2,TRUNC(51.39*(BQ13*BQ$65-1.5)^1.05)," ")</f>
        <v> </v>
      </c>
      <c r="BR14" s="131" t="str">
        <f>IF(BR13&gt;55,TRUNC(0.84565*(BR13*BR$65-75)^1.42)," ")</f>
        <v> </v>
      </c>
      <c r="BS14" s="131" t="str">
        <f>IF(BS13=0," ",IF(BS13&lt;99.46,TRUNC(1.53775*(82-BS13*BS$65)^1.81)," "))</f>
        <v> </v>
      </c>
      <c r="BT14" s="131" t="str">
        <f>IF(BT13=0," ",IF(BT13&lt;31,TRUNC(5.74352*(28.5-BT13*BT$65)^1.92)," "))</f>
        <v> </v>
      </c>
      <c r="BU14" s="131" t="str">
        <f>IF(BU13&gt;3.7,TRUNC(12.91*(BU13*BU$65-4)^1.1)," ")</f>
        <v> </v>
      </c>
      <c r="BV14" s="131" t="str">
        <f>IF(BV13&gt;69,TRUNC(0.2797*(BV13*BV$65-100)^1.35)," ")</f>
        <v> </v>
      </c>
      <c r="BW14" s="131" t="str">
        <f>IF(BW13&gt;4.8,TRUNC(10.14*(BW13*BW$65-7)^1.08)," ")</f>
        <v> </v>
      </c>
      <c r="BX14" s="178" t="str">
        <f>IF(BX13=0," ",IF(BX13&lt;604.36,TRUNC(0.03768*(480-BX13*BX$65)^1.85)," "))</f>
        <v> </v>
      </c>
      <c r="BZ14" s="142">
        <f>SUM(BO14:BX14)</f>
        <v>0</v>
      </c>
      <c r="CA14" s="129" t="s">
        <v>129</v>
      </c>
      <c r="CB14" s="130" t="str">
        <f>IF(CB13=0," ",IF(CB13&lt;21.7,TRUNC(25.4347*(18-CB13*CB$65)^1.81)," "))</f>
        <v> </v>
      </c>
      <c r="CC14" s="131" t="str">
        <f>IF(CC13&gt;155,TRUNC(0.14354*(CC13*CC$65-220)^1.4)," ")</f>
        <v> </v>
      </c>
      <c r="CD14" s="131" t="str">
        <f>IF(CD13&gt;1.2,TRUNC(51.39*(CD13*CD$65-1.5)^1.05)," ")</f>
        <v> </v>
      </c>
      <c r="CE14" s="131" t="str">
        <f>IF(CE13&gt;55,TRUNC(0.84565*(CE13*CE$65-75)^1.42)," ")</f>
        <v> </v>
      </c>
      <c r="CF14" s="131" t="str">
        <f>IF(CF13=0," ",IF(CF13&lt;99.46,TRUNC(1.53775*(82-CF13*CF$65)^1.81)," "))</f>
        <v> </v>
      </c>
      <c r="CG14" s="131" t="str">
        <f>IF(CG13=0," ",IF(CG13&lt;31,TRUNC(5.74352*(28.5-CG13*CG$65)^1.92)," "))</f>
        <v> </v>
      </c>
      <c r="CH14" s="131" t="str">
        <f>IF(CH13&gt;3.7,TRUNC(12.91*(CH13*CH$65-4)^1.1)," ")</f>
        <v> </v>
      </c>
      <c r="CI14" s="131" t="str">
        <f>IF(CI13&gt;69,TRUNC(0.2797*(CI13*CI$65-100)^1.35)," ")</f>
        <v> </v>
      </c>
      <c r="CJ14" s="131" t="str">
        <f>IF(CJ13&gt;4.8,TRUNC(10.14*(CJ13*CJ$65-7)^1.08)," ")</f>
        <v> </v>
      </c>
      <c r="CK14" s="178" t="str">
        <f>IF(CK13=0," ",IF(CK13&lt;604.36,TRUNC(0.03768*(480-CK13*CK$65)^1.85)," "))</f>
        <v> </v>
      </c>
      <c r="CM14" s="142">
        <f>SUM(CB14:CK14)</f>
        <v>0</v>
      </c>
      <c r="CN14" s="129" t="s">
        <v>129</v>
      </c>
      <c r="CO14" s="130" t="str">
        <f>IF(CO13=0," ",IF(CO13&lt;21.7,TRUNC(25.4347*(18-CO13*CO$65)^1.81)," "))</f>
        <v> </v>
      </c>
      <c r="CP14" s="131" t="str">
        <f>IF(CP13&gt;155,TRUNC(0.14354*(CP13*CP$65-220)^1.4)," ")</f>
        <v> </v>
      </c>
      <c r="CQ14" s="131" t="str">
        <f>IF(CQ13&gt;1.2,TRUNC(51.39*(CQ13*CQ$65-1.5)^1.05)," ")</f>
        <v> </v>
      </c>
      <c r="CR14" s="131" t="str">
        <f>IF(CR13&gt;55,TRUNC(0.84565*(CR13*CR$65-75)^1.42)," ")</f>
        <v> </v>
      </c>
      <c r="CS14" s="131" t="str">
        <f>IF(CS13=0," ",IF(CS13&lt;99.46,TRUNC(1.53775*(82-CS13*CS$65)^1.81)," "))</f>
        <v> </v>
      </c>
      <c r="CT14" s="131" t="str">
        <f>IF(CT13=0," ",IF(CT13&lt;31,TRUNC(5.74352*(28.5-CT13*CT$65)^1.92)," "))</f>
        <v> </v>
      </c>
      <c r="CU14" s="131" t="str">
        <f>IF(CU13&gt;3.7,TRUNC(12.91*(CU13*CU$65-4)^1.1)," ")</f>
        <v> </v>
      </c>
      <c r="CV14" s="131" t="str">
        <f>IF(CV13&gt;69,TRUNC(0.2797*(CV13*CV$65-100)^1.35)," ")</f>
        <v> </v>
      </c>
      <c r="CW14" s="131" t="str">
        <f>IF(CW13&gt;4.8,TRUNC(10.14*(CW13*CW$65-7)^1.08)," ")</f>
        <v> </v>
      </c>
      <c r="CX14" s="178" t="str">
        <f>IF(CX13=0," ",IF(CX13&lt;604.36,TRUNC(0.03768*(480-CX13*CX$65)^1.85)," "))</f>
        <v> </v>
      </c>
      <c r="CZ14" s="142">
        <f>SUM(CO14:CX14)</f>
        <v>0</v>
      </c>
      <c r="DA14" s="129" t="s">
        <v>129</v>
      </c>
      <c r="DB14" s="130" t="str">
        <f>IF(DB13=0," ",IF(DB13&lt;21.7,TRUNC(25.4347*(18-DB13*DB$65)^1.81)," "))</f>
        <v> </v>
      </c>
      <c r="DC14" s="131" t="str">
        <f>IF(DC13&gt;155,TRUNC(0.14354*(DC13*DC$65-220)^1.4)," ")</f>
        <v> </v>
      </c>
      <c r="DD14" s="131" t="str">
        <f>IF(DD13&gt;1.2,TRUNC(51.39*(DD13*DD$65-1.5)^1.05)," ")</f>
        <v> </v>
      </c>
      <c r="DE14" s="131" t="str">
        <f>IF(DE13&gt;55,TRUNC(0.84565*(DE13*DE$65-75)^1.42)," ")</f>
        <v> </v>
      </c>
      <c r="DF14" s="131" t="str">
        <f>IF(DF13=0," ",IF(DF13&lt;99.46,TRUNC(1.53775*(82-DF13*DF$65)^1.81)," "))</f>
        <v> </v>
      </c>
      <c r="DG14" s="131" t="str">
        <f>IF(DG13=0," ",IF(DG13&lt;31,TRUNC(5.74352*(28.5-DG13*DG$65)^1.92)," "))</f>
        <v> </v>
      </c>
      <c r="DH14" s="131" t="str">
        <f>IF(DH13&gt;3.7,TRUNC(12.91*(DH13*DH$65-4)^1.1)," ")</f>
        <v> </v>
      </c>
      <c r="DI14" s="131" t="str">
        <f>IF(DI13&gt;69,TRUNC(0.2797*(DI13*DI$65-100)^1.35)," ")</f>
        <v> </v>
      </c>
      <c r="DJ14" s="131" t="str">
        <f>IF(DJ13&gt;4.8,TRUNC(10.14*(DJ13*DJ$65-7)^1.08)," ")</f>
        <v> </v>
      </c>
      <c r="DK14" s="178" t="str">
        <f>IF(DK13=0," ",IF(DK13&lt;604.36,TRUNC(0.03768*(480-DK13*DK$65)^1.85)," "))</f>
        <v> </v>
      </c>
      <c r="DM14" s="142">
        <f>SUM(DB14:DK14)</f>
        <v>0</v>
      </c>
      <c r="DN14" s="129" t="s">
        <v>129</v>
      </c>
      <c r="DO14" s="130" t="str">
        <f>IF(DO13=0," ",IF(DO13&lt;21.7,TRUNC(25.4347*(18-DO13*DO$65)^1.81)," "))</f>
        <v> </v>
      </c>
      <c r="DP14" s="131" t="str">
        <f>IF(DP13&gt;155,TRUNC(0.14354*(DP13*DP$65-220)^1.4)," ")</f>
        <v> </v>
      </c>
      <c r="DQ14" s="131" t="str">
        <f>IF(DQ13&gt;1.2,TRUNC(51.39*(DQ13*DQ$65-1.5)^1.05)," ")</f>
        <v> </v>
      </c>
      <c r="DR14" s="131" t="str">
        <f>IF(DR13&gt;55,TRUNC(0.84565*(DR13*DR$65-75)^1.42)," ")</f>
        <v> </v>
      </c>
      <c r="DS14" s="131" t="str">
        <f>IF(DS13=0," ",IF(DS13&lt;99.46,TRUNC(1.53775*(82-DS13*DS$65)^1.81)," "))</f>
        <v> </v>
      </c>
      <c r="DT14" s="131" t="str">
        <f>IF(DT13=0," ",IF(DT13&lt;31,TRUNC(5.74352*(28.5-DT13*DT$65)^1.92)," "))</f>
        <v> </v>
      </c>
      <c r="DU14" s="131" t="str">
        <f>IF(DU13&gt;3.7,TRUNC(12.91*(DU13*DU$65-4)^1.1)," ")</f>
        <v> </v>
      </c>
      <c r="DV14" s="131" t="str">
        <f>IF(DV13&gt;69,TRUNC(0.2797*(DV13*DV$65-100)^1.35)," ")</f>
        <v> </v>
      </c>
      <c r="DW14" s="131" t="str">
        <f>IF(DW13&gt;4.8,TRUNC(10.14*(DW13*DW$65-7)^1.08)," ")</f>
        <v> </v>
      </c>
      <c r="DX14" s="178" t="str">
        <f>IF(DX13=0," ",IF(DX13&lt;604.36,TRUNC(0.03768*(480-DX13*DX$65)^1.85)," "))</f>
        <v> </v>
      </c>
      <c r="DZ14" s="142">
        <f>SUM(DO14:DX14)</f>
        <v>0</v>
      </c>
      <c r="EA14" s="129" t="s">
        <v>129</v>
      </c>
      <c r="EB14" s="130" t="str">
        <f>IF(EB13=0," ",IF(EB13&lt;21.7,TRUNC(25.4347*(18-EB13*EB$65)^1.81)," "))</f>
        <v> </v>
      </c>
      <c r="EC14" s="131" t="str">
        <f>IF(EC13&gt;155,TRUNC(0.14354*(EC13*EC$65-220)^1.4)," ")</f>
        <v> </v>
      </c>
      <c r="ED14" s="131" t="str">
        <f>IF(ED13&gt;1.2,TRUNC(51.39*(ED13*ED$65-1.5)^1.05)," ")</f>
        <v> </v>
      </c>
      <c r="EE14" s="131" t="str">
        <f>IF(EE13&gt;55,TRUNC(0.84565*(EE13*EE$65-75)^1.42)," ")</f>
        <v> </v>
      </c>
      <c r="EF14" s="131" t="str">
        <f>IF(EF13=0," ",IF(EF13&lt;99.46,TRUNC(1.53775*(82-EF13*EF$65)^1.81)," "))</f>
        <v> </v>
      </c>
      <c r="EG14" s="131" t="str">
        <f>IF(EG13=0," ",IF(EG13&lt;31,TRUNC(5.74352*(28.5-EG13*EG$65)^1.92)," "))</f>
        <v> </v>
      </c>
      <c r="EH14" s="131" t="str">
        <f>IF(EH13&gt;3.7,TRUNC(12.91*(EH13*EH$65-4)^1.1)," ")</f>
        <v> </v>
      </c>
      <c r="EI14" s="131" t="str">
        <f>IF(EI13&gt;69,TRUNC(0.2797*(EI13*EI$65-100)^1.35)," ")</f>
        <v> </v>
      </c>
      <c r="EJ14" s="131" t="str">
        <f>IF(EJ13&gt;4.8,TRUNC(10.14*(EJ13*EJ$65-7)^1.08)," ")</f>
        <v> </v>
      </c>
      <c r="EK14" s="178" t="str">
        <f>IF(EK13=0," ",IF(EK13&lt;604.36,TRUNC(0.03768*(480-EK13*EK$65)^1.85)," "))</f>
        <v> </v>
      </c>
      <c r="EM14" s="142">
        <f>SUM(EB14:EK14)</f>
        <v>0</v>
      </c>
      <c r="EN14" s="129" t="s">
        <v>129</v>
      </c>
      <c r="EO14" s="130" t="str">
        <f>IF(EO13=0," ",IF(EO13&lt;21.7,TRUNC(25.4347*(18-EO13*EO$65)^1.81)," "))</f>
        <v> </v>
      </c>
      <c r="EP14" s="131" t="str">
        <f>IF(EP13&gt;155,TRUNC(0.14354*(EP13*EP$65-220)^1.4)," ")</f>
        <v> </v>
      </c>
      <c r="EQ14" s="131" t="str">
        <f>IF(EQ13&gt;1.2,TRUNC(51.39*(EQ13*EQ$65-1.5)^1.05)," ")</f>
        <v> </v>
      </c>
      <c r="ER14" s="131" t="str">
        <f>IF(ER13&gt;55,TRUNC(0.84565*(ER13*ER$65-75)^1.42)," ")</f>
        <v> </v>
      </c>
      <c r="ES14" s="131" t="str">
        <f>IF(ES13=0," ",IF(ES13&lt;99.46,TRUNC(1.53775*(82-ES13*ES$65)^1.81)," "))</f>
        <v> </v>
      </c>
      <c r="ET14" s="131" t="str">
        <f>IF(ET13=0," ",IF(ET13&lt;31,TRUNC(5.74352*(28.5-ET13*ET$65)^1.92)," "))</f>
        <v> </v>
      </c>
      <c r="EU14" s="131" t="str">
        <f>IF(EU13&gt;3.7,TRUNC(12.91*(EU13*EU$65-4)^1.1)," ")</f>
        <v> </v>
      </c>
      <c r="EV14" s="131" t="str">
        <f>IF(EV13&gt;69,TRUNC(0.2797*(EV13*EV$65-100)^1.35)," ")</f>
        <v> </v>
      </c>
      <c r="EW14" s="131" t="str">
        <f>IF(EW13&gt;4.8,TRUNC(10.14*(EW13*EW$65-7)^1.08)," ")</f>
        <v> </v>
      </c>
      <c r="EX14" s="178" t="str">
        <f>IF(EX13=0," ",IF(EX13&lt;604.36,TRUNC(0.03768*(480-EX13*EX$65)^1.85)," "))</f>
        <v> </v>
      </c>
      <c r="EZ14" s="142">
        <f>SUM(EO14:EX14)</f>
        <v>0</v>
      </c>
      <c r="FA14" s="129" t="s">
        <v>129</v>
      </c>
      <c r="FB14" s="130" t="str">
        <f>IF(FB13=0," ",IF(FB13&lt;21.7,TRUNC(25.4347*(18-FB13*FB$65)^1.81)," "))</f>
        <v> </v>
      </c>
      <c r="FC14" s="131" t="str">
        <f>IF(FC13&gt;155,TRUNC(0.14354*(FC13*FC$65-220)^1.4)," ")</f>
        <v> </v>
      </c>
      <c r="FD14" s="131" t="str">
        <f>IF(FD13&gt;1.2,TRUNC(51.39*(FD13*FD$65-1.5)^1.05)," ")</f>
        <v> </v>
      </c>
      <c r="FE14" s="131" t="str">
        <f>IF(FE13&gt;55,TRUNC(0.84565*(FE13*FE$65-75)^1.42)," ")</f>
        <v> </v>
      </c>
      <c r="FF14" s="131" t="str">
        <f>IF(FF13=0," ",IF(FF13&lt;99.46,TRUNC(1.53775*(82-FF13*FF$65)^1.81)," "))</f>
        <v> </v>
      </c>
      <c r="FG14" s="131" t="str">
        <f>IF(FG13=0," ",IF(FG13&lt;31,TRUNC(5.74352*(28.5-FG13*FG$65)^1.92)," "))</f>
        <v> </v>
      </c>
      <c r="FH14" s="131" t="str">
        <f>IF(FH13&gt;3.7,TRUNC(12.91*(FH13*FH$65-4)^1.1)," ")</f>
        <v> </v>
      </c>
      <c r="FI14" s="131" t="str">
        <f>IF(FI13&gt;69,TRUNC(0.2797*(FI13*FI$65-100)^1.35)," ")</f>
        <v> </v>
      </c>
      <c r="FJ14" s="131" t="str">
        <f>IF(FJ13&gt;4.8,TRUNC(10.14*(FJ13*FJ$65-7)^1.08)," ")</f>
        <v> </v>
      </c>
      <c r="FK14" s="178" t="str">
        <f>IF(FK13=0," ",IF(FK13&lt;604.36,TRUNC(0.03768*(480-FK13*FK$65)^1.85)," "))</f>
        <v> </v>
      </c>
      <c r="FM14" s="142">
        <f>SUM(FB14:FK14)</f>
        <v>0</v>
      </c>
      <c r="FN14" s="129" t="s">
        <v>129</v>
      </c>
      <c r="FO14" s="130" t="str">
        <f>IF(FO13=0," ",IF(FO13&lt;21.7,TRUNC(25.4347*(18-FO13*FO$65)^1.81)," "))</f>
        <v> </v>
      </c>
      <c r="FP14" s="131" t="str">
        <f>IF(FP13&gt;155,TRUNC(0.14354*(FP13*FP$65-220)^1.4)," ")</f>
        <v> </v>
      </c>
      <c r="FQ14" s="131" t="str">
        <f>IF(FQ13&gt;1.2,TRUNC(51.39*(FQ13*FQ$65-1.5)^1.05)," ")</f>
        <v> </v>
      </c>
      <c r="FR14" s="131" t="str">
        <f>IF(FR13&gt;55,TRUNC(0.84565*(FR13*FR$65-75)^1.42)," ")</f>
        <v> </v>
      </c>
      <c r="FS14" s="131" t="str">
        <f>IF(FS13=0," ",IF(FS13&lt;99.46,TRUNC(1.53775*(82-FS13*FS$65)^1.81)," "))</f>
        <v> </v>
      </c>
      <c r="FT14" s="131" t="str">
        <f>IF(FT13=0," ",IF(FT13&lt;31,TRUNC(5.74352*(28.5-FT13*FT$65)^1.92)," "))</f>
        <v> </v>
      </c>
      <c r="FU14" s="131" t="str">
        <f>IF(FU13&gt;3.7,TRUNC(12.91*(FU13*FU$65-4)^1.1)," ")</f>
        <v> </v>
      </c>
      <c r="FV14" s="131" t="str">
        <f>IF(FV13&gt;69,TRUNC(0.2797*(FV13*FV$65-100)^1.35)," ")</f>
        <v> </v>
      </c>
      <c r="FW14" s="131" t="str">
        <f>IF(FW13&gt;4.8,TRUNC(10.14*(FW13*FW$65-7)^1.08)," ")</f>
        <v> </v>
      </c>
      <c r="FX14" s="178" t="str">
        <f>IF(FX13=0," ",IF(FX13&lt;604.36,TRUNC(0.03768*(480-FX13*FX$65)^1.85)," "))</f>
        <v> </v>
      </c>
      <c r="FZ14" s="142">
        <f>SUM(FO14:FX14)</f>
        <v>0</v>
      </c>
      <c r="GA14" s="129" t="s">
        <v>129</v>
      </c>
      <c r="GB14" s="130" t="str">
        <f>IF(GB13=0," ",IF(GB13&lt;21.7,TRUNC(25.4347*(18-GB13*GB$65)^1.81)," "))</f>
        <v> </v>
      </c>
      <c r="GC14" s="131" t="str">
        <f>IF(GC13&gt;155,TRUNC(0.14354*(GC13*GC$65-220)^1.4)," ")</f>
        <v> </v>
      </c>
      <c r="GD14" s="131" t="str">
        <f>IF(GD13&gt;1.2,TRUNC(51.39*(GD13*GD$65-1.5)^1.05)," ")</f>
        <v> </v>
      </c>
      <c r="GE14" s="131" t="str">
        <f>IF(GE13&gt;55,TRUNC(0.84565*(GE13*GE$65-75)^1.42)," ")</f>
        <v> </v>
      </c>
      <c r="GF14" s="131" t="str">
        <f>IF(GF13=0," ",IF(GF13&lt;99.46,TRUNC(1.53775*(82-GF13*GF$65)^1.81)," "))</f>
        <v> </v>
      </c>
      <c r="GG14" s="131" t="str">
        <f>IF(GG13=0," ",IF(GG13&lt;31,TRUNC(5.74352*(28.5-GG13*GG$65)^1.92)," "))</f>
        <v> </v>
      </c>
      <c r="GH14" s="131" t="str">
        <f>IF(GH13&gt;3.7,TRUNC(12.91*(GH13*GH$65-4)^1.1)," ")</f>
        <v> </v>
      </c>
      <c r="GI14" s="131" t="str">
        <f>IF(GI13&gt;69,TRUNC(0.2797*(GI13*GI$65-100)^1.35)," ")</f>
        <v> </v>
      </c>
      <c r="GJ14" s="131" t="str">
        <f>IF(GJ13&gt;4.8,TRUNC(10.14*(GJ13*GJ$65-7)^1.08)," ")</f>
        <v> </v>
      </c>
      <c r="GK14" s="178" t="str">
        <f>IF(GK13=0," ",IF(GK13&lt;604.36,TRUNC(0.03768*(480-GK13*GK$65)^1.85)," "))</f>
        <v> </v>
      </c>
      <c r="GM14" s="142">
        <f>SUM(GB14:GK14)</f>
        <v>0</v>
      </c>
      <c r="GN14" s="129" t="s">
        <v>129</v>
      </c>
      <c r="GO14" s="130" t="str">
        <f>IF(GO13=0," ",IF(GO13&lt;21.7,TRUNC(25.4347*(18-GO13*GO$65)^1.81)," "))</f>
        <v> </v>
      </c>
      <c r="GP14" s="131" t="str">
        <f>IF(GP13&gt;155,TRUNC(0.14354*(GP13*GP$65-220)^1.4)," ")</f>
        <v> </v>
      </c>
      <c r="GQ14" s="131" t="str">
        <f>IF(GQ13&gt;1.2,TRUNC(51.39*(GQ13*GQ$65-1.5)^1.05)," ")</f>
        <v> </v>
      </c>
      <c r="GR14" s="131" t="str">
        <f>IF(GR13&gt;55,TRUNC(0.84565*(GR13*GR$65-75)^1.42)," ")</f>
        <v> </v>
      </c>
      <c r="GS14" s="131" t="str">
        <f>IF(GS13=0," ",IF(GS13&lt;99.46,TRUNC(1.53775*(82-GS13*GS$65)^1.81)," "))</f>
        <v> </v>
      </c>
      <c r="GT14" s="131" t="str">
        <f>IF(GT13=0," ",IF(GT13&lt;31,TRUNC(5.74352*(28.5-GT13*GT$65)^1.92)," "))</f>
        <v> </v>
      </c>
      <c r="GU14" s="131" t="str">
        <f>IF(GU13&gt;3.7,TRUNC(12.91*(GU13*GU$65-4)^1.1)," ")</f>
        <v> </v>
      </c>
      <c r="GV14" s="131" t="str">
        <f>IF(GV13&gt;69,TRUNC(0.2797*(GV13*GV$65-100)^1.35)," ")</f>
        <v> </v>
      </c>
      <c r="GW14" s="131" t="str">
        <f>IF(GW13&gt;4.8,TRUNC(10.14*(GW13*GW$65-7)^1.08)," ")</f>
        <v> </v>
      </c>
      <c r="GX14" s="178" t="str">
        <f>IF(GX13=0," ",IF(GX13&lt;604.36,TRUNC(0.03768*(480-GX13*GX$65)^1.85)," "))</f>
        <v> </v>
      </c>
      <c r="GZ14" s="142">
        <f>SUM(GO14:GX14)</f>
        <v>0</v>
      </c>
      <c r="HA14" s="129" t="s">
        <v>129</v>
      </c>
      <c r="HB14" s="130" t="str">
        <f>IF(HB13=0," ",IF(HB13&lt;21.7,TRUNC(25.4347*(18-HB13*HB$65)^1.81)," "))</f>
        <v> </v>
      </c>
      <c r="HC14" s="131" t="str">
        <f>IF(HC13&gt;155,TRUNC(0.14354*(HC13*HC$65-220)^1.4)," ")</f>
        <v> </v>
      </c>
      <c r="HD14" s="131" t="str">
        <f>IF(HD13&gt;1.2,TRUNC(51.39*(HD13*HD$65-1.5)^1.05)," ")</f>
        <v> </v>
      </c>
      <c r="HE14" s="131" t="str">
        <f>IF(HE13&gt;55,TRUNC(0.84565*(HE13*HE$65-75)^1.42)," ")</f>
        <v> </v>
      </c>
      <c r="HF14" s="131" t="str">
        <f>IF(HF13=0," ",IF(HF13&lt;99.46,TRUNC(1.53775*(82-HF13*HF$65)^1.81)," "))</f>
        <v> </v>
      </c>
      <c r="HG14" s="131" t="str">
        <f>IF(HG13=0," ",IF(HG13&lt;31,TRUNC(5.74352*(28.5-HG13*HG$65)^1.92)," "))</f>
        <v> </v>
      </c>
      <c r="HH14" s="131" t="str">
        <f>IF(HH13&gt;3.7,TRUNC(12.91*(HH13*HH$65-4)^1.1)," ")</f>
        <v> </v>
      </c>
      <c r="HI14" s="131" t="str">
        <f>IF(HI13&gt;69,TRUNC(0.2797*(HI13*HI$65-100)^1.35)," ")</f>
        <v> </v>
      </c>
      <c r="HJ14" s="131" t="str">
        <f>IF(HJ13&gt;4.8,TRUNC(10.14*(HJ13*HJ$65-7)^1.08)," ")</f>
        <v> </v>
      </c>
      <c r="HK14" s="178" t="str">
        <f>IF(HK13=0," ",IF(HK13&lt;604.36,TRUNC(0.03768*(480-HK13*HK$65)^1.85)," "))</f>
        <v> </v>
      </c>
      <c r="HM14" s="142">
        <f>SUM(HB14:HK14)</f>
        <v>0</v>
      </c>
      <c r="HN14" s="129" t="s">
        <v>129</v>
      </c>
      <c r="HO14" s="130" t="str">
        <f>IF(HO13=0," ",IF(HO13&lt;21.7,TRUNC(25.4347*(18-HO13*HO$65)^1.81)," "))</f>
        <v> </v>
      </c>
      <c r="HP14" s="131" t="str">
        <f>IF(HP13&gt;155,TRUNC(0.14354*(HP13*HP$65-220)^1.4)," ")</f>
        <v> </v>
      </c>
      <c r="HQ14" s="131" t="str">
        <f>IF(HQ13&gt;1.2,TRUNC(51.39*(HQ13*HQ$65-1.5)^1.05)," ")</f>
        <v> </v>
      </c>
      <c r="HR14" s="131" t="str">
        <f>IF(HR13&gt;55,TRUNC(0.84565*(HR13*HR$65-75)^1.42)," ")</f>
        <v> </v>
      </c>
      <c r="HS14" s="131" t="str">
        <f>IF(HS13=0," ",IF(HS13&lt;99.46,TRUNC(1.53775*(82-HS13*HS$65)^1.81)," "))</f>
        <v> </v>
      </c>
      <c r="HT14" s="131" t="str">
        <f>IF(HT13=0," ",IF(HT13&lt;31,TRUNC(5.74352*(28.5-HT13*HT$65)^1.92)," "))</f>
        <v> </v>
      </c>
      <c r="HU14" s="131" t="str">
        <f>IF(HU13&gt;3.7,TRUNC(12.91*(HU13*HU$65-4)^1.1)," ")</f>
        <v> </v>
      </c>
      <c r="HV14" s="131" t="str">
        <f>IF(HV13&gt;69,TRUNC(0.2797*(HV13*HV$65-100)^1.35)," ")</f>
        <v> </v>
      </c>
      <c r="HW14" s="131" t="str">
        <f>IF(HW13&gt;4.8,TRUNC(10.14*(HW13*HW$65-7)^1.08)," ")</f>
        <v> </v>
      </c>
      <c r="HX14" s="178" t="str">
        <f>IF(HX13=0," ",IF(HX13&lt;604.36,TRUNC(0.03768*(480-HX13*HX$65)^1.85)," "))</f>
        <v> </v>
      </c>
      <c r="HZ14" s="142">
        <f>SUM(HO14:HX14)</f>
        <v>0</v>
      </c>
      <c r="IA14" s="129" t="s">
        <v>129</v>
      </c>
      <c r="IB14" s="130" t="str">
        <f>IF(IB13=0," ",IF(IB13&lt;21.7,TRUNC(25.4347*(18-IB13*IB$65)^1.81)," "))</f>
        <v> </v>
      </c>
      <c r="IC14" s="131" t="str">
        <f>IF(IC13&gt;155,TRUNC(0.14354*(IC13*IC$65-220)^1.4)," ")</f>
        <v> </v>
      </c>
      <c r="ID14" s="131" t="str">
        <f>IF(ID13&gt;1.2,TRUNC(51.39*(ID13*ID$65-1.5)^1.05)," ")</f>
        <v> </v>
      </c>
      <c r="IE14" s="131" t="str">
        <f>IF(IE13&gt;55,TRUNC(0.84565*(IE13*IE$65-75)^1.42)," ")</f>
        <v> </v>
      </c>
      <c r="IF14" s="131" t="str">
        <f>IF(IF13=0," ",IF(IF13&lt;99.46,TRUNC(1.53775*(82-IF13*IF$65)^1.81)," "))</f>
        <v> </v>
      </c>
      <c r="IG14" s="131" t="str">
        <f>IF(IG13=0," ",IF(IG13&lt;31,TRUNC(5.74352*(28.5-IG13*IG$65)^1.92)," "))</f>
        <v> </v>
      </c>
      <c r="IH14" s="131" t="str">
        <f>IF(IH13&gt;3.7,TRUNC(12.91*(IH13*IH$65-4)^1.1)," ")</f>
        <v> </v>
      </c>
      <c r="II14" s="131" t="str">
        <f>IF(II13&gt;69,TRUNC(0.2797*(II13*II$65-100)^1.35)," ")</f>
        <v> </v>
      </c>
      <c r="IJ14" s="131" t="str">
        <f>IF(IJ13&gt;4.8,TRUNC(10.14*(IJ13*IJ$65-7)^1.08)," ")</f>
        <v> </v>
      </c>
      <c r="IK14" s="178" t="str">
        <f>IF(IK13=0," ",IF(IK13&lt;604.36,TRUNC(0.03768*(480-IK13*IK$65)^1.85)," "))</f>
        <v> </v>
      </c>
      <c r="IM14" s="142">
        <f>SUM(IB14:IK14)</f>
        <v>0</v>
      </c>
      <c r="IN14" s="129" t="s">
        <v>129</v>
      </c>
      <c r="IO14" s="130" t="str">
        <f>IF(IO13=0," ",IF(IO13&lt;21.7,TRUNC(25.4347*(18-IO13*IO$65)^1.81)," "))</f>
        <v> </v>
      </c>
      <c r="IP14" s="131" t="str">
        <f>IF(IP13&gt;155,TRUNC(0.14354*(IP13*IP$65-220)^1.4)," ")</f>
        <v> </v>
      </c>
      <c r="IQ14" s="131" t="str">
        <f>IF(IQ13&gt;1.2,TRUNC(51.39*(IQ13*IQ$65-1.5)^1.05)," ")</f>
        <v> </v>
      </c>
      <c r="IR14" s="131" t="str">
        <f>IF(IR13&gt;55,TRUNC(0.84565*(IR13*IR$65-75)^1.42)," ")</f>
        <v> </v>
      </c>
      <c r="IS14" s="131" t="str">
        <f>IF(IS13=0," ",IF(IS13&lt;99.46,TRUNC(1.53775*(82-IS13*IS$65)^1.81)," "))</f>
        <v> </v>
      </c>
      <c r="IT14" s="131" t="str">
        <f>IF(IT13=0," ",IF(IT13&lt;31,TRUNC(5.74352*(28.5-IT13*IT$65)^1.92)," "))</f>
        <v> </v>
      </c>
      <c r="IU14" s="131" t="str">
        <f>IF(IU13&gt;3.7,TRUNC(12.91*(IU13*IU$65-4)^1.1)," ")</f>
        <v> </v>
      </c>
      <c r="IV14" s="131" t="str">
        <f>IF(IV13&gt;69,TRUNC(0.2797*(IV13*IV$65-100)^1.35)," ")</f>
        <v> </v>
      </c>
    </row>
    <row r="15" spans="1:256" s="190" customFormat="1" ht="4.5" customHeight="1">
      <c r="A15" s="180" t="s">
        <v>59</v>
      </c>
      <c r="B15" s="181">
        <v>15.03</v>
      </c>
      <c r="C15" s="182">
        <v>441</v>
      </c>
      <c r="D15" s="183">
        <v>9.81</v>
      </c>
      <c r="E15" s="182">
        <v>129</v>
      </c>
      <c r="F15" s="183">
        <v>71.09</v>
      </c>
      <c r="G15" s="184">
        <v>19.44</v>
      </c>
      <c r="H15" s="183">
        <v>25.47</v>
      </c>
      <c r="I15" s="182">
        <v>250</v>
      </c>
      <c r="J15" s="183">
        <v>30.08</v>
      </c>
      <c r="K15" s="183">
        <v>373.09</v>
      </c>
      <c r="L15" s="185"/>
      <c r="M15" s="186"/>
      <c r="N15" s="187"/>
      <c r="O15" s="188"/>
      <c r="P15" s="113">
        <f>100*P16/M16</f>
        <v>40.834283852044976</v>
      </c>
      <c r="Q15" s="114">
        <f>100*Q16/M16</f>
        <v>31.62783118787681</v>
      </c>
      <c r="R15" s="115">
        <f>100*R16/M16</f>
        <v>27.537884960078213</v>
      </c>
      <c r="S15" s="189"/>
      <c r="T15" s="189"/>
      <c r="U15" s="189"/>
      <c r="V15" s="189"/>
      <c r="W15" s="189"/>
      <c r="X15" s="189"/>
      <c r="Z15" s="191"/>
      <c r="AA15" s="192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M15" s="191"/>
      <c r="AN15" s="192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Z15" s="191"/>
      <c r="BA15" s="192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M15" s="191"/>
      <c r="BN15" s="192"/>
      <c r="BO15" s="189"/>
      <c r="BP15" s="189"/>
      <c r="BQ15" s="189"/>
      <c r="BR15" s="189"/>
      <c r="BS15" s="189"/>
      <c r="BT15" s="189"/>
      <c r="BU15" s="189"/>
      <c r="BV15" s="189"/>
      <c r="BW15" s="189"/>
      <c r="BX15" s="189"/>
      <c r="BZ15" s="191"/>
      <c r="CA15" s="192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M15" s="191"/>
      <c r="CN15" s="192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Z15" s="191"/>
      <c r="DA15" s="192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M15" s="191"/>
      <c r="DN15" s="192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Z15" s="191"/>
      <c r="EA15" s="192"/>
      <c r="EB15" s="189"/>
      <c r="EC15" s="189"/>
      <c r="ED15" s="189"/>
      <c r="EE15" s="189"/>
      <c r="EF15" s="189"/>
      <c r="EG15" s="189"/>
      <c r="EH15" s="189"/>
      <c r="EI15" s="189"/>
      <c r="EJ15" s="189"/>
      <c r="EK15" s="189"/>
      <c r="EM15" s="191"/>
      <c r="EN15" s="192"/>
      <c r="EO15" s="189"/>
      <c r="EP15" s="189"/>
      <c r="EQ15" s="189"/>
      <c r="ER15" s="189"/>
      <c r="ES15" s="189"/>
      <c r="ET15" s="189"/>
      <c r="EU15" s="189"/>
      <c r="EV15" s="189"/>
      <c r="EW15" s="189"/>
      <c r="EX15" s="189"/>
      <c r="EZ15" s="191"/>
      <c r="FA15" s="192"/>
      <c r="FB15" s="189"/>
      <c r="FC15" s="189"/>
      <c r="FD15" s="189"/>
      <c r="FE15" s="189"/>
      <c r="FF15" s="189"/>
      <c r="FG15" s="189"/>
      <c r="FH15" s="189"/>
      <c r="FI15" s="189"/>
      <c r="FJ15" s="189"/>
      <c r="FK15" s="189"/>
      <c r="FM15" s="191"/>
      <c r="FN15" s="192"/>
      <c r="FO15" s="189"/>
      <c r="FP15" s="189"/>
      <c r="FQ15" s="189"/>
      <c r="FR15" s="189"/>
      <c r="FS15" s="189"/>
      <c r="FT15" s="189"/>
      <c r="FU15" s="189"/>
      <c r="FV15" s="189"/>
      <c r="FW15" s="189"/>
      <c r="FX15" s="189"/>
      <c r="FZ15" s="191"/>
      <c r="GA15" s="192"/>
      <c r="GB15" s="189"/>
      <c r="GC15" s="189"/>
      <c r="GD15" s="189"/>
      <c r="GE15" s="189"/>
      <c r="GF15" s="189"/>
      <c r="GG15" s="189"/>
      <c r="GH15" s="189"/>
      <c r="GI15" s="189"/>
      <c r="GJ15" s="189"/>
      <c r="GK15" s="189"/>
      <c r="GM15" s="191"/>
      <c r="GN15" s="192"/>
      <c r="GO15" s="189"/>
      <c r="GP15" s="189"/>
      <c r="GQ15" s="189"/>
      <c r="GR15" s="189"/>
      <c r="GS15" s="189"/>
      <c r="GT15" s="189"/>
      <c r="GU15" s="189"/>
      <c r="GV15" s="189"/>
      <c r="GW15" s="189"/>
      <c r="GX15" s="189"/>
      <c r="GZ15" s="191"/>
      <c r="HA15" s="192"/>
      <c r="HB15" s="189"/>
      <c r="HC15" s="189"/>
      <c r="HD15" s="189"/>
      <c r="HE15" s="189"/>
      <c r="HF15" s="189"/>
      <c r="HG15" s="189"/>
      <c r="HH15" s="189"/>
      <c r="HI15" s="189"/>
      <c r="HJ15" s="189"/>
      <c r="HK15" s="189"/>
      <c r="HM15" s="191"/>
      <c r="HN15" s="192"/>
      <c r="HO15" s="189"/>
      <c r="HP15" s="189"/>
      <c r="HQ15" s="189"/>
      <c r="HR15" s="189"/>
      <c r="HS15" s="189"/>
      <c r="HT15" s="189"/>
      <c r="HU15" s="189"/>
      <c r="HV15" s="189"/>
      <c r="HW15" s="189"/>
      <c r="HX15" s="189"/>
      <c r="HZ15" s="191"/>
      <c r="IA15" s="192"/>
      <c r="IB15" s="189"/>
      <c r="IC15" s="189"/>
      <c r="ID15" s="189"/>
      <c r="IE15" s="189"/>
      <c r="IF15" s="189"/>
      <c r="IG15" s="189"/>
      <c r="IH15" s="189"/>
      <c r="II15" s="189"/>
      <c r="IJ15" s="189"/>
      <c r="IK15" s="189"/>
      <c r="IM15" s="191"/>
      <c r="IN15" s="192"/>
      <c r="IO15" s="189"/>
      <c r="IP15" s="189"/>
      <c r="IQ15" s="189"/>
      <c r="IR15" s="189"/>
      <c r="IS15" s="189"/>
      <c r="IT15" s="189"/>
      <c r="IU15" s="189"/>
      <c r="IV15" s="189"/>
    </row>
    <row r="16" spans="1:256" s="190" customFormat="1" ht="4.5" customHeight="1">
      <c r="A16" s="193" t="s">
        <v>108</v>
      </c>
      <c r="B16" s="194">
        <f>IF(B15=0," ",IF(B15&lt;30,TRUNC(25.4347*(18-B15*B$66)^1.81)," "))</f>
        <v>614</v>
      </c>
      <c r="C16" s="195">
        <f>IF(C15&gt;100,TRUNC(0.14354*(C15*C$66-220)^1.4)," ")</f>
        <v>743</v>
      </c>
      <c r="D16" s="195">
        <f>IF(D15&gt;1,TRUNC(51.39*(D15*D$66-1.5)^1.05)," ")</f>
        <v>689</v>
      </c>
      <c r="E16" s="195">
        <f>IF(E15&gt;50,TRUNC(0.84565*(E15*E$66-75)^1.42)," ")</f>
        <v>617</v>
      </c>
      <c r="F16" s="196">
        <f>IF(F15=0," ",IF(F15&lt;120,TRUNC(1.53775*(82-F15*F$66)^1.81)," "))</f>
        <v>571</v>
      </c>
      <c r="G16" s="197">
        <f>IF(G15=0," ",IF(G15&lt;35,TRUNC(5.74352*(28.5-G15*G$66)^1.92)," "))</f>
        <v>646</v>
      </c>
      <c r="H16" s="196">
        <f>IF(H15&gt;2,TRUNC(12.91*(H15*H$66-4)^1.1)," ")</f>
        <v>457</v>
      </c>
      <c r="I16" s="195">
        <f>IF(I15&gt;50,TRUNC(0.2797*(I15*I$66-100)^1.35)," ")</f>
        <v>581</v>
      </c>
      <c r="J16" s="195">
        <f>IF(J15&gt;3,TRUNC(10.14*(J15*J$66-7)^1.08)," ")</f>
        <v>544</v>
      </c>
      <c r="K16" s="198">
        <f>IF(K15=0," ",IF(K15&lt;800.36,TRUNC(0.03768*(480-K15*K$66)^1.85)," "))</f>
        <v>675</v>
      </c>
      <c r="L16" s="185"/>
      <c r="M16" s="186">
        <f>SUM(B16:K16)</f>
        <v>6137</v>
      </c>
      <c r="N16" s="187"/>
      <c r="O16" s="188">
        <f>MAX(B16:K16)</f>
        <v>743</v>
      </c>
      <c r="P16" s="199">
        <f>SUM(B16,F16,G16,K16)</f>
        <v>2506</v>
      </c>
      <c r="Q16" s="200">
        <f>SUM(C16,E16,I16)</f>
        <v>1941</v>
      </c>
      <c r="R16" s="201">
        <f>SUM(D16,H16,J16)</f>
        <v>1690</v>
      </c>
      <c r="S16" s="189"/>
      <c r="T16" s="189"/>
      <c r="U16" s="189"/>
      <c r="V16" s="189"/>
      <c r="W16" s="189"/>
      <c r="X16" s="189"/>
      <c r="Z16" s="191"/>
      <c r="AA16" s="192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M16" s="191"/>
      <c r="AN16" s="192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Z16" s="191"/>
      <c r="BA16" s="192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M16" s="191"/>
      <c r="BN16" s="192"/>
      <c r="BO16" s="189"/>
      <c r="BP16" s="189"/>
      <c r="BQ16" s="189"/>
      <c r="BR16" s="189"/>
      <c r="BS16" s="189"/>
      <c r="BT16" s="189"/>
      <c r="BU16" s="189"/>
      <c r="BV16" s="189"/>
      <c r="BW16" s="189"/>
      <c r="BX16" s="189"/>
      <c r="BZ16" s="191"/>
      <c r="CA16" s="192"/>
      <c r="CB16" s="189"/>
      <c r="CC16" s="189"/>
      <c r="CD16" s="189"/>
      <c r="CE16" s="189"/>
      <c r="CF16" s="189"/>
      <c r="CG16" s="189"/>
      <c r="CH16" s="189"/>
      <c r="CI16" s="189"/>
      <c r="CJ16" s="189"/>
      <c r="CK16" s="189"/>
      <c r="CM16" s="191"/>
      <c r="CN16" s="192"/>
      <c r="CO16" s="189"/>
      <c r="CP16" s="189"/>
      <c r="CQ16" s="189"/>
      <c r="CR16" s="189"/>
      <c r="CS16" s="189"/>
      <c r="CT16" s="189"/>
      <c r="CU16" s="189"/>
      <c r="CV16" s="189"/>
      <c r="CW16" s="189"/>
      <c r="CX16" s="189"/>
      <c r="CZ16" s="191"/>
      <c r="DA16" s="192"/>
      <c r="DB16" s="189"/>
      <c r="DC16" s="189"/>
      <c r="DD16" s="189"/>
      <c r="DE16" s="189"/>
      <c r="DF16" s="189"/>
      <c r="DG16" s="189"/>
      <c r="DH16" s="189"/>
      <c r="DI16" s="189"/>
      <c r="DJ16" s="189"/>
      <c r="DK16" s="189"/>
      <c r="DM16" s="191"/>
      <c r="DN16" s="192"/>
      <c r="DO16" s="189"/>
      <c r="DP16" s="189"/>
      <c r="DQ16" s="189"/>
      <c r="DR16" s="189"/>
      <c r="DS16" s="189"/>
      <c r="DT16" s="189"/>
      <c r="DU16" s="189"/>
      <c r="DV16" s="189"/>
      <c r="DW16" s="189"/>
      <c r="DX16" s="189"/>
      <c r="DZ16" s="191"/>
      <c r="EA16" s="192"/>
      <c r="EB16" s="189"/>
      <c r="EC16" s="189"/>
      <c r="ED16" s="189"/>
      <c r="EE16" s="189"/>
      <c r="EF16" s="189"/>
      <c r="EG16" s="189"/>
      <c r="EH16" s="189"/>
      <c r="EI16" s="189"/>
      <c r="EJ16" s="189"/>
      <c r="EK16" s="189"/>
      <c r="EM16" s="191"/>
      <c r="EN16" s="192"/>
      <c r="EO16" s="189"/>
      <c r="EP16" s="189"/>
      <c r="EQ16" s="189"/>
      <c r="ER16" s="189"/>
      <c r="ES16" s="189"/>
      <c r="ET16" s="189"/>
      <c r="EU16" s="189"/>
      <c r="EV16" s="189"/>
      <c r="EW16" s="189"/>
      <c r="EX16" s="189"/>
      <c r="EZ16" s="191"/>
      <c r="FA16" s="192"/>
      <c r="FB16" s="189"/>
      <c r="FC16" s="189"/>
      <c r="FD16" s="189"/>
      <c r="FE16" s="189"/>
      <c r="FF16" s="189"/>
      <c r="FG16" s="189"/>
      <c r="FH16" s="189"/>
      <c r="FI16" s="189"/>
      <c r="FJ16" s="189"/>
      <c r="FK16" s="189"/>
      <c r="FM16" s="191"/>
      <c r="FN16" s="192"/>
      <c r="FO16" s="189"/>
      <c r="FP16" s="189"/>
      <c r="FQ16" s="189"/>
      <c r="FR16" s="189"/>
      <c r="FS16" s="189"/>
      <c r="FT16" s="189"/>
      <c r="FU16" s="189"/>
      <c r="FV16" s="189"/>
      <c r="FW16" s="189"/>
      <c r="FX16" s="189"/>
      <c r="FZ16" s="191"/>
      <c r="GA16" s="192"/>
      <c r="GB16" s="189"/>
      <c r="GC16" s="189"/>
      <c r="GD16" s="189"/>
      <c r="GE16" s="189"/>
      <c r="GF16" s="189"/>
      <c r="GG16" s="189"/>
      <c r="GH16" s="189"/>
      <c r="GI16" s="189"/>
      <c r="GJ16" s="189"/>
      <c r="GK16" s="189"/>
      <c r="GM16" s="191"/>
      <c r="GN16" s="192"/>
      <c r="GO16" s="189"/>
      <c r="GP16" s="189"/>
      <c r="GQ16" s="189"/>
      <c r="GR16" s="189"/>
      <c r="GS16" s="189"/>
      <c r="GT16" s="189"/>
      <c r="GU16" s="189"/>
      <c r="GV16" s="189"/>
      <c r="GW16" s="189"/>
      <c r="GX16" s="189"/>
      <c r="GZ16" s="191"/>
      <c r="HA16" s="192"/>
      <c r="HB16" s="189"/>
      <c r="HC16" s="189"/>
      <c r="HD16" s="189"/>
      <c r="HE16" s="189"/>
      <c r="HF16" s="189"/>
      <c r="HG16" s="189"/>
      <c r="HH16" s="189"/>
      <c r="HI16" s="189"/>
      <c r="HJ16" s="189"/>
      <c r="HK16" s="189"/>
      <c r="HM16" s="191"/>
      <c r="HN16" s="192"/>
      <c r="HO16" s="189"/>
      <c r="HP16" s="189"/>
      <c r="HQ16" s="189"/>
      <c r="HR16" s="189"/>
      <c r="HS16" s="189"/>
      <c r="HT16" s="189"/>
      <c r="HU16" s="189"/>
      <c r="HV16" s="189"/>
      <c r="HW16" s="189"/>
      <c r="HX16" s="189"/>
      <c r="HZ16" s="191"/>
      <c r="IA16" s="192"/>
      <c r="IB16" s="189"/>
      <c r="IC16" s="189"/>
      <c r="ID16" s="189"/>
      <c r="IE16" s="189"/>
      <c r="IF16" s="189"/>
      <c r="IG16" s="189"/>
      <c r="IH16" s="189"/>
      <c r="II16" s="189"/>
      <c r="IJ16" s="189"/>
      <c r="IK16" s="189"/>
      <c r="IM16" s="191"/>
      <c r="IN16" s="192"/>
      <c r="IO16" s="189"/>
      <c r="IP16" s="189"/>
      <c r="IQ16" s="189"/>
      <c r="IR16" s="189"/>
      <c r="IS16" s="189"/>
      <c r="IT16" s="189"/>
      <c r="IU16" s="189"/>
      <c r="IV16" s="189"/>
    </row>
    <row r="17" spans="1:256" s="190" customFormat="1" ht="4.5" customHeight="1">
      <c r="A17" s="202" t="s">
        <v>4</v>
      </c>
      <c r="B17" s="203">
        <f aca="true" t="shared" si="0" ref="B17:K17">B15*B66</f>
        <v>12.190833</v>
      </c>
      <c r="C17" s="204">
        <f t="shared" si="0"/>
        <v>669.7026</v>
      </c>
      <c r="D17" s="204">
        <f t="shared" si="0"/>
        <v>13.348467000000001</v>
      </c>
      <c r="E17" s="204">
        <f t="shared" si="0"/>
        <v>178.9101</v>
      </c>
      <c r="F17" s="204">
        <f t="shared" si="0"/>
        <v>55.706124</v>
      </c>
      <c r="G17" s="204">
        <f t="shared" si="0"/>
        <v>16.790328000000002</v>
      </c>
      <c r="H17" s="204">
        <f t="shared" si="0"/>
        <v>29.639438999999996</v>
      </c>
      <c r="I17" s="204">
        <f t="shared" si="0"/>
        <v>386.875</v>
      </c>
      <c r="J17" s="204">
        <f t="shared" si="0"/>
        <v>46.98496</v>
      </c>
      <c r="K17" s="204">
        <f t="shared" si="0"/>
        <v>280.899461</v>
      </c>
      <c r="L17" s="185"/>
      <c r="M17" s="186"/>
      <c r="N17" s="187"/>
      <c r="O17" s="188"/>
      <c r="P17" s="199"/>
      <c r="Q17" s="200"/>
      <c r="R17" s="201"/>
      <c r="S17" s="189"/>
      <c r="T17" s="189"/>
      <c r="U17" s="189"/>
      <c r="V17" s="189"/>
      <c r="W17" s="189"/>
      <c r="X17" s="189"/>
      <c r="Z17" s="191"/>
      <c r="AA17" s="192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M17" s="191"/>
      <c r="AN17" s="192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Z17" s="191"/>
      <c r="BA17" s="192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M17" s="191"/>
      <c r="BN17" s="192"/>
      <c r="BO17" s="189"/>
      <c r="BP17" s="189"/>
      <c r="BQ17" s="189"/>
      <c r="BR17" s="189"/>
      <c r="BS17" s="189"/>
      <c r="BT17" s="189"/>
      <c r="BU17" s="189"/>
      <c r="BV17" s="189"/>
      <c r="BW17" s="189"/>
      <c r="BX17" s="189"/>
      <c r="BZ17" s="191"/>
      <c r="CA17" s="192"/>
      <c r="CB17" s="189"/>
      <c r="CC17" s="189"/>
      <c r="CD17" s="189"/>
      <c r="CE17" s="189"/>
      <c r="CF17" s="189"/>
      <c r="CG17" s="189"/>
      <c r="CH17" s="189"/>
      <c r="CI17" s="189"/>
      <c r="CJ17" s="189"/>
      <c r="CK17" s="189"/>
      <c r="CM17" s="191"/>
      <c r="CN17" s="192"/>
      <c r="CO17" s="189"/>
      <c r="CP17" s="189"/>
      <c r="CQ17" s="189"/>
      <c r="CR17" s="189"/>
      <c r="CS17" s="189"/>
      <c r="CT17" s="189"/>
      <c r="CU17" s="189"/>
      <c r="CV17" s="189"/>
      <c r="CW17" s="189"/>
      <c r="CX17" s="189"/>
      <c r="CZ17" s="191"/>
      <c r="DA17" s="192"/>
      <c r="DB17" s="189"/>
      <c r="DC17" s="189"/>
      <c r="DD17" s="189"/>
      <c r="DE17" s="189"/>
      <c r="DF17" s="189"/>
      <c r="DG17" s="189"/>
      <c r="DH17" s="189"/>
      <c r="DI17" s="189"/>
      <c r="DJ17" s="189"/>
      <c r="DK17" s="189"/>
      <c r="DM17" s="191"/>
      <c r="DN17" s="192"/>
      <c r="DO17" s="189"/>
      <c r="DP17" s="189"/>
      <c r="DQ17" s="189"/>
      <c r="DR17" s="189"/>
      <c r="DS17" s="189"/>
      <c r="DT17" s="189"/>
      <c r="DU17" s="189"/>
      <c r="DV17" s="189"/>
      <c r="DW17" s="189"/>
      <c r="DX17" s="189"/>
      <c r="DZ17" s="191"/>
      <c r="EA17" s="192"/>
      <c r="EB17" s="189"/>
      <c r="EC17" s="189"/>
      <c r="ED17" s="189"/>
      <c r="EE17" s="189"/>
      <c r="EF17" s="189"/>
      <c r="EG17" s="189"/>
      <c r="EH17" s="189"/>
      <c r="EI17" s="189"/>
      <c r="EJ17" s="189"/>
      <c r="EK17" s="189"/>
      <c r="EM17" s="191"/>
      <c r="EN17" s="192"/>
      <c r="EO17" s="189"/>
      <c r="EP17" s="189"/>
      <c r="EQ17" s="189"/>
      <c r="ER17" s="189"/>
      <c r="ES17" s="189"/>
      <c r="ET17" s="189"/>
      <c r="EU17" s="189"/>
      <c r="EV17" s="189"/>
      <c r="EW17" s="189"/>
      <c r="EX17" s="189"/>
      <c r="EZ17" s="191"/>
      <c r="FA17" s="192"/>
      <c r="FB17" s="189"/>
      <c r="FC17" s="189"/>
      <c r="FD17" s="189"/>
      <c r="FE17" s="189"/>
      <c r="FF17" s="189"/>
      <c r="FG17" s="189"/>
      <c r="FH17" s="189"/>
      <c r="FI17" s="189"/>
      <c r="FJ17" s="189"/>
      <c r="FK17" s="189"/>
      <c r="FM17" s="191"/>
      <c r="FN17" s="192"/>
      <c r="FO17" s="189"/>
      <c r="FP17" s="189"/>
      <c r="FQ17" s="189"/>
      <c r="FR17" s="189"/>
      <c r="FS17" s="189"/>
      <c r="FT17" s="189"/>
      <c r="FU17" s="189"/>
      <c r="FV17" s="189"/>
      <c r="FW17" s="189"/>
      <c r="FX17" s="189"/>
      <c r="FZ17" s="191"/>
      <c r="GA17" s="192"/>
      <c r="GB17" s="189"/>
      <c r="GC17" s="189"/>
      <c r="GD17" s="189"/>
      <c r="GE17" s="189"/>
      <c r="GF17" s="189"/>
      <c r="GG17" s="189"/>
      <c r="GH17" s="189"/>
      <c r="GI17" s="189"/>
      <c r="GJ17" s="189"/>
      <c r="GK17" s="189"/>
      <c r="GM17" s="191"/>
      <c r="GN17" s="192"/>
      <c r="GO17" s="189"/>
      <c r="GP17" s="189"/>
      <c r="GQ17" s="189"/>
      <c r="GR17" s="189"/>
      <c r="GS17" s="189"/>
      <c r="GT17" s="189"/>
      <c r="GU17" s="189"/>
      <c r="GV17" s="189"/>
      <c r="GW17" s="189"/>
      <c r="GX17" s="189"/>
      <c r="GZ17" s="191"/>
      <c r="HA17" s="192"/>
      <c r="HB17" s="189"/>
      <c r="HC17" s="189"/>
      <c r="HD17" s="189"/>
      <c r="HE17" s="189"/>
      <c r="HF17" s="189"/>
      <c r="HG17" s="189"/>
      <c r="HH17" s="189"/>
      <c r="HI17" s="189"/>
      <c r="HJ17" s="189"/>
      <c r="HK17" s="189"/>
      <c r="HM17" s="191"/>
      <c r="HN17" s="192"/>
      <c r="HO17" s="189"/>
      <c r="HP17" s="189"/>
      <c r="HQ17" s="189"/>
      <c r="HR17" s="189"/>
      <c r="HS17" s="189"/>
      <c r="HT17" s="189"/>
      <c r="HU17" s="189"/>
      <c r="HV17" s="189"/>
      <c r="HW17" s="189"/>
      <c r="HX17" s="189"/>
      <c r="HZ17" s="191"/>
      <c r="IA17" s="192"/>
      <c r="IB17" s="189"/>
      <c r="IC17" s="189"/>
      <c r="ID17" s="189"/>
      <c r="IE17" s="189"/>
      <c r="IF17" s="189"/>
      <c r="IG17" s="189"/>
      <c r="IH17" s="189"/>
      <c r="II17" s="189"/>
      <c r="IJ17" s="189"/>
      <c r="IK17" s="189"/>
      <c r="IM17" s="191"/>
      <c r="IN17" s="192"/>
      <c r="IO17" s="189"/>
      <c r="IP17" s="189"/>
      <c r="IQ17" s="189"/>
      <c r="IR17" s="189"/>
      <c r="IS17" s="189"/>
      <c r="IT17" s="189"/>
      <c r="IU17" s="189"/>
      <c r="IV17" s="189"/>
    </row>
    <row r="18" spans="1:256" s="218" customFormat="1" ht="4.5" customHeight="1">
      <c r="A18" s="205" t="s">
        <v>5</v>
      </c>
      <c r="B18" s="206">
        <v>612</v>
      </c>
      <c r="C18" s="207">
        <v>741</v>
      </c>
      <c r="D18" s="207">
        <v>688</v>
      </c>
      <c r="E18" s="207">
        <v>610</v>
      </c>
      <c r="F18" s="208">
        <v>571</v>
      </c>
      <c r="G18" s="209">
        <v>645</v>
      </c>
      <c r="H18" s="208">
        <v>457</v>
      </c>
      <c r="I18" s="207">
        <v>579</v>
      </c>
      <c r="J18" s="207">
        <v>543</v>
      </c>
      <c r="K18" s="208">
        <v>675</v>
      </c>
      <c r="L18" s="210"/>
      <c r="M18" s="211">
        <f>SUM(B18:K18)</f>
        <v>6121</v>
      </c>
      <c r="N18" s="212"/>
      <c r="O18" s="213"/>
      <c r="P18" s="214"/>
      <c r="Q18" s="215"/>
      <c r="R18" s="216"/>
      <c r="S18" s="217"/>
      <c r="T18" s="217"/>
      <c r="U18" s="217"/>
      <c r="V18" s="217"/>
      <c r="W18" s="217"/>
      <c r="X18" s="217"/>
      <c r="Z18" s="219"/>
      <c r="AA18" s="220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M18" s="219"/>
      <c r="AN18" s="220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Z18" s="219"/>
      <c r="BA18" s="220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M18" s="219"/>
      <c r="BN18" s="220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Z18" s="219"/>
      <c r="CA18" s="220"/>
      <c r="CB18" s="217"/>
      <c r="CC18" s="217"/>
      <c r="CD18" s="217"/>
      <c r="CE18" s="217"/>
      <c r="CF18" s="217"/>
      <c r="CG18" s="217"/>
      <c r="CH18" s="217"/>
      <c r="CI18" s="217"/>
      <c r="CJ18" s="217"/>
      <c r="CK18" s="217"/>
      <c r="CM18" s="219"/>
      <c r="CN18" s="220"/>
      <c r="CO18" s="217"/>
      <c r="CP18" s="217"/>
      <c r="CQ18" s="217"/>
      <c r="CR18" s="217"/>
      <c r="CS18" s="217"/>
      <c r="CT18" s="217"/>
      <c r="CU18" s="217"/>
      <c r="CV18" s="217"/>
      <c r="CW18" s="217"/>
      <c r="CX18" s="217"/>
      <c r="CZ18" s="219"/>
      <c r="DA18" s="220"/>
      <c r="DB18" s="217"/>
      <c r="DC18" s="217"/>
      <c r="DD18" s="217"/>
      <c r="DE18" s="217"/>
      <c r="DF18" s="217"/>
      <c r="DG18" s="217"/>
      <c r="DH18" s="217"/>
      <c r="DI18" s="217"/>
      <c r="DJ18" s="217"/>
      <c r="DK18" s="217"/>
      <c r="DM18" s="219"/>
      <c r="DN18" s="220"/>
      <c r="DO18" s="217"/>
      <c r="DP18" s="217"/>
      <c r="DQ18" s="217"/>
      <c r="DR18" s="217"/>
      <c r="DS18" s="217"/>
      <c r="DT18" s="217"/>
      <c r="DU18" s="217"/>
      <c r="DV18" s="217"/>
      <c r="DW18" s="217"/>
      <c r="DX18" s="217"/>
      <c r="DZ18" s="219"/>
      <c r="EA18" s="220"/>
      <c r="EB18" s="217"/>
      <c r="EC18" s="217"/>
      <c r="ED18" s="217"/>
      <c r="EE18" s="217"/>
      <c r="EF18" s="217"/>
      <c r="EG18" s="217"/>
      <c r="EH18" s="217"/>
      <c r="EI18" s="217"/>
      <c r="EJ18" s="217"/>
      <c r="EK18" s="217"/>
      <c r="EM18" s="219"/>
      <c r="EN18" s="220"/>
      <c r="EO18" s="217"/>
      <c r="EP18" s="217"/>
      <c r="EQ18" s="217"/>
      <c r="ER18" s="217"/>
      <c r="ES18" s="217"/>
      <c r="ET18" s="217"/>
      <c r="EU18" s="217"/>
      <c r="EV18" s="217"/>
      <c r="EW18" s="217"/>
      <c r="EX18" s="217"/>
      <c r="EZ18" s="219"/>
      <c r="FA18" s="220"/>
      <c r="FB18" s="217"/>
      <c r="FC18" s="217"/>
      <c r="FD18" s="217"/>
      <c r="FE18" s="217"/>
      <c r="FF18" s="217"/>
      <c r="FG18" s="217"/>
      <c r="FH18" s="217"/>
      <c r="FI18" s="217"/>
      <c r="FJ18" s="217"/>
      <c r="FK18" s="217"/>
      <c r="FM18" s="219"/>
      <c r="FN18" s="220"/>
      <c r="FO18" s="217"/>
      <c r="FP18" s="217"/>
      <c r="FQ18" s="217"/>
      <c r="FR18" s="217"/>
      <c r="FS18" s="217"/>
      <c r="FT18" s="217"/>
      <c r="FU18" s="217"/>
      <c r="FV18" s="217"/>
      <c r="FW18" s="217"/>
      <c r="FX18" s="217"/>
      <c r="FZ18" s="219"/>
      <c r="GA18" s="220"/>
      <c r="GB18" s="217"/>
      <c r="GC18" s="217"/>
      <c r="GD18" s="217"/>
      <c r="GE18" s="217"/>
      <c r="GF18" s="217"/>
      <c r="GG18" s="217"/>
      <c r="GH18" s="217"/>
      <c r="GI18" s="217"/>
      <c r="GJ18" s="217"/>
      <c r="GK18" s="217"/>
      <c r="GM18" s="219"/>
      <c r="GN18" s="220"/>
      <c r="GO18" s="217"/>
      <c r="GP18" s="217"/>
      <c r="GQ18" s="217"/>
      <c r="GR18" s="217"/>
      <c r="GS18" s="217"/>
      <c r="GT18" s="217"/>
      <c r="GU18" s="217"/>
      <c r="GV18" s="217"/>
      <c r="GW18" s="217"/>
      <c r="GX18" s="217"/>
      <c r="GZ18" s="219"/>
      <c r="HA18" s="220"/>
      <c r="HB18" s="217"/>
      <c r="HC18" s="217"/>
      <c r="HD18" s="217"/>
      <c r="HE18" s="217"/>
      <c r="HF18" s="217"/>
      <c r="HG18" s="217"/>
      <c r="HH18" s="217"/>
      <c r="HI18" s="217"/>
      <c r="HJ18" s="217"/>
      <c r="HK18" s="217"/>
      <c r="HM18" s="219"/>
      <c r="HN18" s="220"/>
      <c r="HO18" s="217"/>
      <c r="HP18" s="217"/>
      <c r="HQ18" s="217"/>
      <c r="HR18" s="217"/>
      <c r="HS18" s="217"/>
      <c r="HT18" s="217"/>
      <c r="HU18" s="217"/>
      <c r="HV18" s="217"/>
      <c r="HW18" s="217"/>
      <c r="HX18" s="217"/>
      <c r="HZ18" s="219"/>
      <c r="IA18" s="220"/>
      <c r="IB18" s="217"/>
      <c r="IC18" s="217"/>
      <c r="ID18" s="217"/>
      <c r="IE18" s="217"/>
      <c r="IF18" s="217"/>
      <c r="IG18" s="217"/>
      <c r="IH18" s="217"/>
      <c r="II18" s="217"/>
      <c r="IJ18" s="217"/>
      <c r="IK18" s="217"/>
      <c r="IM18" s="219"/>
      <c r="IN18" s="220"/>
      <c r="IO18" s="217"/>
      <c r="IP18" s="217"/>
      <c r="IQ18" s="217"/>
      <c r="IR18" s="217"/>
      <c r="IS18" s="217"/>
      <c r="IT18" s="217"/>
      <c r="IU18" s="217"/>
      <c r="IV18" s="217"/>
    </row>
    <row r="19" spans="1:256" s="379" customFormat="1" ht="46.5" customHeight="1">
      <c r="A19" s="229" t="s">
        <v>47</v>
      </c>
      <c r="B19" s="372">
        <v>15.31</v>
      </c>
      <c r="C19" s="373">
        <f>LongJ!E4</f>
        <v>404</v>
      </c>
      <c r="D19" s="169">
        <f>ShotP!E5</f>
        <v>8.84</v>
      </c>
      <c r="E19" s="107">
        <v>125</v>
      </c>
      <c r="F19" s="169">
        <v>79.19</v>
      </c>
      <c r="G19" s="325">
        <v>21.81</v>
      </c>
      <c r="H19" s="169">
        <f>DiscusT!E4</f>
        <v>27.67</v>
      </c>
      <c r="I19" s="107">
        <v>230</v>
      </c>
      <c r="J19" s="169">
        <v>28.55</v>
      </c>
      <c r="K19" s="169">
        <v>417.09</v>
      </c>
      <c r="L19" s="375"/>
      <c r="M19" s="224"/>
      <c r="N19" s="225"/>
      <c r="O19" s="225"/>
      <c r="P19" s="376">
        <f>100*P20/M20</f>
        <v>35.802948021722266</v>
      </c>
      <c r="Q19" s="377">
        <f>100*Q20/M20</f>
        <v>32.680372381691235</v>
      </c>
      <c r="R19" s="378">
        <f>100*R20/M20</f>
        <v>31.516679596586503</v>
      </c>
      <c r="S19" s="107"/>
      <c r="T19" s="107"/>
      <c r="U19" s="107"/>
      <c r="V19" s="107"/>
      <c r="W19" s="107"/>
      <c r="X19" s="107"/>
      <c r="Z19" s="229"/>
      <c r="AA19" s="229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M19" s="229"/>
      <c r="AN19" s="229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Z19" s="229"/>
      <c r="BA19" s="229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M19" s="229"/>
      <c r="BN19" s="229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Z19" s="229"/>
      <c r="CA19" s="229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M19" s="229"/>
      <c r="CN19" s="229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Z19" s="229"/>
      <c r="DA19" s="229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M19" s="229"/>
      <c r="DN19" s="229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Z19" s="229"/>
      <c r="EA19" s="229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M19" s="229"/>
      <c r="EN19" s="229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Z19" s="229"/>
      <c r="FA19" s="229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M19" s="229"/>
      <c r="FN19" s="229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Z19" s="229"/>
      <c r="GA19" s="229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M19" s="229"/>
      <c r="GN19" s="229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Z19" s="229"/>
      <c r="HA19" s="229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M19" s="229"/>
      <c r="HN19" s="229"/>
      <c r="HO19" s="107"/>
      <c r="HP19" s="107"/>
      <c r="HQ19" s="107"/>
      <c r="HR19" s="107"/>
      <c r="HS19" s="107"/>
      <c r="HT19" s="107"/>
      <c r="HU19" s="107"/>
      <c r="HV19" s="107"/>
      <c r="HW19" s="107"/>
      <c r="HX19" s="107"/>
      <c r="HZ19" s="229"/>
      <c r="IA19" s="229"/>
      <c r="IB19" s="107"/>
      <c r="IC19" s="107"/>
      <c r="ID19" s="107"/>
      <c r="IE19" s="107"/>
      <c r="IF19" s="107"/>
      <c r="IG19" s="107"/>
      <c r="IH19" s="107"/>
      <c r="II19" s="107"/>
      <c r="IJ19" s="107"/>
      <c r="IK19" s="107"/>
      <c r="IM19" s="229"/>
      <c r="IN19" s="229"/>
      <c r="IO19" s="107"/>
      <c r="IP19" s="107"/>
      <c r="IQ19" s="107"/>
      <c r="IR19" s="107"/>
      <c r="IS19" s="107"/>
      <c r="IT19" s="107"/>
      <c r="IU19" s="107"/>
      <c r="IV19" s="107"/>
    </row>
    <row r="20" spans="1:256" s="242" customFormat="1" ht="52.5" customHeight="1">
      <c r="A20" s="230" t="s">
        <v>108</v>
      </c>
      <c r="B20" s="231">
        <f>IF(B19=0," ",IF(B19&lt;30,TRUNC(25.4347*(18-B19*B$66)^1.81)," "))</f>
        <v>571</v>
      </c>
      <c r="C20" s="232">
        <f>IF(C19&gt;100,TRUNC(0.14354*(C19*C$66-220)^1.4)," ")</f>
        <v>616</v>
      </c>
      <c r="D20" s="232">
        <f>IF(D19&gt;1,TRUNC(51.39*(D19*D$66-1.5)^1.05)," ")</f>
        <v>608</v>
      </c>
      <c r="E20" s="232">
        <f>IF(E19&gt;50,TRUNC(0.84565*(E19*E$66-75)^1.42)," ")</f>
        <v>571</v>
      </c>
      <c r="F20" s="232">
        <f>IF(F19=0," ",IF(F19&lt;120,TRUNC(1.53775*(82-F19*F$66)^1.81)," "))</f>
        <v>346</v>
      </c>
      <c r="G20" s="233">
        <f>IF(G19=0," ",IF(G19&lt;35,TRUNC(5.74352*(28.5-G19*G$66)^1.92)," "))</f>
        <v>447</v>
      </c>
      <c r="H20" s="232">
        <f>IF(H19&gt;2,TRUNC(12.91*(H19*H$66-4)^1.1)," ")</f>
        <v>508</v>
      </c>
      <c r="I20" s="232">
        <f>IF(I19&gt;50,TRUNC(0.2797*(I19*I$66-100)^1.35)," ")</f>
        <v>498</v>
      </c>
      <c r="J20" s="232">
        <f>IF(J19&gt;3,TRUNC(10.14*(J19*J$66-7)^1.08)," ")</f>
        <v>509</v>
      </c>
      <c r="K20" s="232">
        <f>IF(K19=0," ",IF(K19&lt;800.36,TRUNC(0.03768*(480-K19*K$66)^1.85)," "))</f>
        <v>482</v>
      </c>
      <c r="L20" s="234"/>
      <c r="M20" s="235">
        <f>SUM(B20:K20)</f>
        <v>5156</v>
      </c>
      <c r="N20" s="236"/>
      <c r="O20" s="237">
        <f>MAX(B20:K20)</f>
        <v>616</v>
      </c>
      <c r="P20" s="238">
        <f>SUM(B20,F20,G20,K20)</f>
        <v>1846</v>
      </c>
      <c r="Q20" s="239">
        <f>SUM(C20,E20,I20)</f>
        <v>1685</v>
      </c>
      <c r="R20" s="240">
        <f>SUM(D20,H20,J20)</f>
        <v>1625</v>
      </c>
      <c r="S20" s="241"/>
      <c r="T20" s="241"/>
      <c r="U20" s="241"/>
      <c r="V20" s="241"/>
      <c r="W20" s="241"/>
      <c r="X20" s="241"/>
      <c r="Z20" s="243"/>
      <c r="AA20" s="230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M20" s="243"/>
      <c r="AN20" s="230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Z20" s="243"/>
      <c r="BA20" s="230"/>
      <c r="BB20" s="241"/>
      <c r="BC20" s="241"/>
      <c r="BD20" s="241"/>
      <c r="BE20" s="241"/>
      <c r="BF20" s="241"/>
      <c r="BG20" s="241"/>
      <c r="BH20" s="241"/>
      <c r="BI20" s="241"/>
      <c r="BJ20" s="241"/>
      <c r="BK20" s="241"/>
      <c r="BM20" s="243"/>
      <c r="BN20" s="230"/>
      <c r="BO20" s="241"/>
      <c r="BP20" s="241"/>
      <c r="BQ20" s="241"/>
      <c r="BR20" s="241"/>
      <c r="BS20" s="241"/>
      <c r="BT20" s="241"/>
      <c r="BU20" s="241"/>
      <c r="BV20" s="241"/>
      <c r="BW20" s="241"/>
      <c r="BX20" s="241"/>
      <c r="BZ20" s="243"/>
      <c r="CA20" s="230"/>
      <c r="CB20" s="241"/>
      <c r="CC20" s="241"/>
      <c r="CD20" s="241"/>
      <c r="CE20" s="241"/>
      <c r="CF20" s="241"/>
      <c r="CG20" s="241"/>
      <c r="CH20" s="241"/>
      <c r="CI20" s="241"/>
      <c r="CJ20" s="241"/>
      <c r="CK20" s="241"/>
      <c r="CM20" s="243"/>
      <c r="CN20" s="230"/>
      <c r="CO20" s="241"/>
      <c r="CP20" s="241"/>
      <c r="CQ20" s="241"/>
      <c r="CR20" s="241"/>
      <c r="CS20" s="241"/>
      <c r="CT20" s="241"/>
      <c r="CU20" s="241"/>
      <c r="CV20" s="241"/>
      <c r="CW20" s="241"/>
      <c r="CX20" s="241"/>
      <c r="CZ20" s="243"/>
      <c r="DA20" s="230"/>
      <c r="DB20" s="241"/>
      <c r="DC20" s="241"/>
      <c r="DD20" s="241"/>
      <c r="DE20" s="241"/>
      <c r="DF20" s="241"/>
      <c r="DG20" s="241"/>
      <c r="DH20" s="241"/>
      <c r="DI20" s="241"/>
      <c r="DJ20" s="241"/>
      <c r="DK20" s="241"/>
      <c r="DM20" s="243"/>
      <c r="DN20" s="230"/>
      <c r="DO20" s="241"/>
      <c r="DP20" s="241"/>
      <c r="DQ20" s="241"/>
      <c r="DR20" s="241"/>
      <c r="DS20" s="241"/>
      <c r="DT20" s="241"/>
      <c r="DU20" s="241"/>
      <c r="DV20" s="241"/>
      <c r="DW20" s="241"/>
      <c r="DX20" s="241"/>
      <c r="DZ20" s="243"/>
      <c r="EA20" s="230"/>
      <c r="EB20" s="241"/>
      <c r="EC20" s="241"/>
      <c r="ED20" s="241"/>
      <c r="EE20" s="241"/>
      <c r="EF20" s="241"/>
      <c r="EG20" s="241"/>
      <c r="EH20" s="241"/>
      <c r="EI20" s="241"/>
      <c r="EJ20" s="241"/>
      <c r="EK20" s="241"/>
      <c r="EM20" s="243"/>
      <c r="EN20" s="230"/>
      <c r="EO20" s="241"/>
      <c r="EP20" s="241"/>
      <c r="EQ20" s="241"/>
      <c r="ER20" s="241"/>
      <c r="ES20" s="241"/>
      <c r="ET20" s="241"/>
      <c r="EU20" s="241"/>
      <c r="EV20" s="241"/>
      <c r="EW20" s="241"/>
      <c r="EX20" s="241"/>
      <c r="EZ20" s="243"/>
      <c r="FA20" s="230"/>
      <c r="FB20" s="241"/>
      <c r="FC20" s="241"/>
      <c r="FD20" s="241"/>
      <c r="FE20" s="241"/>
      <c r="FF20" s="241"/>
      <c r="FG20" s="241"/>
      <c r="FH20" s="241"/>
      <c r="FI20" s="241"/>
      <c r="FJ20" s="241"/>
      <c r="FK20" s="241"/>
      <c r="FM20" s="243"/>
      <c r="FN20" s="230"/>
      <c r="FO20" s="241"/>
      <c r="FP20" s="241"/>
      <c r="FQ20" s="241"/>
      <c r="FR20" s="241"/>
      <c r="FS20" s="241"/>
      <c r="FT20" s="241"/>
      <c r="FU20" s="241"/>
      <c r="FV20" s="241"/>
      <c r="FW20" s="241"/>
      <c r="FX20" s="241"/>
      <c r="FZ20" s="243"/>
      <c r="GA20" s="230"/>
      <c r="GB20" s="241"/>
      <c r="GC20" s="241"/>
      <c r="GD20" s="241"/>
      <c r="GE20" s="241"/>
      <c r="GF20" s="241"/>
      <c r="GG20" s="241"/>
      <c r="GH20" s="241"/>
      <c r="GI20" s="241"/>
      <c r="GJ20" s="241"/>
      <c r="GK20" s="241"/>
      <c r="GM20" s="243"/>
      <c r="GN20" s="230"/>
      <c r="GO20" s="241"/>
      <c r="GP20" s="241"/>
      <c r="GQ20" s="241"/>
      <c r="GR20" s="241"/>
      <c r="GS20" s="241"/>
      <c r="GT20" s="241"/>
      <c r="GU20" s="241"/>
      <c r="GV20" s="241"/>
      <c r="GW20" s="241"/>
      <c r="GX20" s="241"/>
      <c r="GZ20" s="243"/>
      <c r="HA20" s="230"/>
      <c r="HB20" s="241"/>
      <c r="HC20" s="241"/>
      <c r="HD20" s="241"/>
      <c r="HE20" s="241"/>
      <c r="HF20" s="241"/>
      <c r="HG20" s="241"/>
      <c r="HH20" s="241"/>
      <c r="HI20" s="241"/>
      <c r="HJ20" s="241"/>
      <c r="HK20" s="241"/>
      <c r="HM20" s="243"/>
      <c r="HN20" s="230"/>
      <c r="HO20" s="241"/>
      <c r="HP20" s="241"/>
      <c r="HQ20" s="241"/>
      <c r="HR20" s="241"/>
      <c r="HS20" s="241"/>
      <c r="HT20" s="241"/>
      <c r="HU20" s="241"/>
      <c r="HV20" s="241"/>
      <c r="HW20" s="241"/>
      <c r="HX20" s="241"/>
      <c r="HZ20" s="243"/>
      <c r="IA20" s="230"/>
      <c r="IB20" s="241"/>
      <c r="IC20" s="241"/>
      <c r="ID20" s="241"/>
      <c r="IE20" s="241"/>
      <c r="IF20" s="241"/>
      <c r="IG20" s="241"/>
      <c r="IH20" s="241"/>
      <c r="II20" s="241"/>
      <c r="IJ20" s="241"/>
      <c r="IK20" s="241"/>
      <c r="IM20" s="243"/>
      <c r="IN20" s="230"/>
      <c r="IO20" s="241"/>
      <c r="IP20" s="241"/>
      <c r="IQ20" s="241"/>
      <c r="IR20" s="241"/>
      <c r="IS20" s="241"/>
      <c r="IT20" s="241"/>
      <c r="IU20" s="241"/>
      <c r="IV20" s="241"/>
    </row>
    <row r="21" spans="1:256" s="256" customFormat="1" ht="13.5" customHeight="1">
      <c r="A21" s="244"/>
      <c r="B21" s="245"/>
      <c r="C21" s="246"/>
      <c r="D21" s="246"/>
      <c r="E21" s="246"/>
      <c r="F21" s="246"/>
      <c r="G21" s="247"/>
      <c r="H21" s="246"/>
      <c r="I21" s="246"/>
      <c r="J21" s="246"/>
      <c r="K21" s="246"/>
      <c r="L21" s="248"/>
      <c r="M21" s="249"/>
      <c r="N21" s="250"/>
      <c r="O21" s="251"/>
      <c r="P21" s="252"/>
      <c r="Q21" s="253"/>
      <c r="R21" s="254"/>
      <c r="S21" s="255"/>
      <c r="T21" s="255"/>
      <c r="U21" s="255"/>
      <c r="V21" s="255"/>
      <c r="W21" s="255"/>
      <c r="X21" s="255"/>
      <c r="Z21" s="257"/>
      <c r="AA21" s="244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M21" s="257"/>
      <c r="AN21" s="244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Z21" s="257"/>
      <c r="BA21" s="244"/>
      <c r="BB21" s="255"/>
      <c r="BC21" s="255"/>
      <c r="BD21" s="255"/>
      <c r="BE21" s="255"/>
      <c r="BF21" s="255"/>
      <c r="BG21" s="255"/>
      <c r="BH21" s="255"/>
      <c r="BI21" s="255"/>
      <c r="BJ21" s="255"/>
      <c r="BK21" s="255"/>
      <c r="BM21" s="257"/>
      <c r="BN21" s="244"/>
      <c r="BO21" s="255"/>
      <c r="BP21" s="255"/>
      <c r="BQ21" s="255"/>
      <c r="BR21" s="255"/>
      <c r="BS21" s="255"/>
      <c r="BT21" s="255"/>
      <c r="BU21" s="255"/>
      <c r="BV21" s="255"/>
      <c r="BW21" s="255"/>
      <c r="BX21" s="255"/>
      <c r="BZ21" s="257"/>
      <c r="CA21" s="244"/>
      <c r="CB21" s="255"/>
      <c r="CC21" s="255"/>
      <c r="CD21" s="255"/>
      <c r="CE21" s="255"/>
      <c r="CF21" s="255"/>
      <c r="CG21" s="255"/>
      <c r="CH21" s="255"/>
      <c r="CI21" s="255"/>
      <c r="CJ21" s="255"/>
      <c r="CK21" s="255"/>
      <c r="CM21" s="257"/>
      <c r="CN21" s="244"/>
      <c r="CO21" s="255"/>
      <c r="CP21" s="255"/>
      <c r="CQ21" s="255"/>
      <c r="CR21" s="255"/>
      <c r="CS21" s="255"/>
      <c r="CT21" s="255"/>
      <c r="CU21" s="255"/>
      <c r="CV21" s="255"/>
      <c r="CW21" s="255"/>
      <c r="CX21" s="255"/>
      <c r="CZ21" s="257"/>
      <c r="DA21" s="244"/>
      <c r="DB21" s="255"/>
      <c r="DC21" s="255"/>
      <c r="DD21" s="255"/>
      <c r="DE21" s="255"/>
      <c r="DF21" s="255"/>
      <c r="DG21" s="255"/>
      <c r="DH21" s="255"/>
      <c r="DI21" s="255"/>
      <c r="DJ21" s="255"/>
      <c r="DK21" s="255"/>
      <c r="DM21" s="257"/>
      <c r="DN21" s="244"/>
      <c r="DO21" s="255"/>
      <c r="DP21" s="255"/>
      <c r="DQ21" s="255"/>
      <c r="DR21" s="255"/>
      <c r="DS21" s="255"/>
      <c r="DT21" s="255"/>
      <c r="DU21" s="255"/>
      <c r="DV21" s="255"/>
      <c r="DW21" s="255"/>
      <c r="DX21" s="255"/>
      <c r="DZ21" s="257"/>
      <c r="EA21" s="244"/>
      <c r="EB21" s="255"/>
      <c r="EC21" s="255"/>
      <c r="ED21" s="255"/>
      <c r="EE21" s="255"/>
      <c r="EF21" s="255"/>
      <c r="EG21" s="255"/>
      <c r="EH21" s="255"/>
      <c r="EI21" s="255"/>
      <c r="EJ21" s="255"/>
      <c r="EK21" s="255"/>
      <c r="EM21" s="257"/>
      <c r="EN21" s="244"/>
      <c r="EO21" s="255"/>
      <c r="EP21" s="255"/>
      <c r="EQ21" s="255"/>
      <c r="ER21" s="255"/>
      <c r="ES21" s="255"/>
      <c r="ET21" s="255"/>
      <c r="EU21" s="255"/>
      <c r="EV21" s="255"/>
      <c r="EW21" s="255"/>
      <c r="EX21" s="255"/>
      <c r="EZ21" s="257"/>
      <c r="FA21" s="244"/>
      <c r="FB21" s="255"/>
      <c r="FC21" s="255"/>
      <c r="FD21" s="255"/>
      <c r="FE21" s="255"/>
      <c r="FF21" s="255"/>
      <c r="FG21" s="255"/>
      <c r="FH21" s="255"/>
      <c r="FI21" s="255"/>
      <c r="FJ21" s="255"/>
      <c r="FK21" s="255"/>
      <c r="FM21" s="257"/>
      <c r="FN21" s="244"/>
      <c r="FO21" s="255"/>
      <c r="FP21" s="255"/>
      <c r="FQ21" s="255"/>
      <c r="FR21" s="255"/>
      <c r="FS21" s="255"/>
      <c r="FT21" s="255"/>
      <c r="FU21" s="255"/>
      <c r="FV21" s="255"/>
      <c r="FW21" s="255"/>
      <c r="FX21" s="255"/>
      <c r="FZ21" s="257"/>
      <c r="GA21" s="244"/>
      <c r="GB21" s="255"/>
      <c r="GC21" s="255"/>
      <c r="GD21" s="255"/>
      <c r="GE21" s="255"/>
      <c r="GF21" s="255"/>
      <c r="GG21" s="255"/>
      <c r="GH21" s="255"/>
      <c r="GI21" s="255"/>
      <c r="GJ21" s="255"/>
      <c r="GK21" s="255"/>
      <c r="GM21" s="257"/>
      <c r="GN21" s="244"/>
      <c r="GO21" s="255"/>
      <c r="GP21" s="255"/>
      <c r="GQ21" s="255"/>
      <c r="GR21" s="255"/>
      <c r="GS21" s="255"/>
      <c r="GT21" s="255"/>
      <c r="GU21" s="255"/>
      <c r="GV21" s="255"/>
      <c r="GW21" s="255"/>
      <c r="GX21" s="255"/>
      <c r="GZ21" s="257"/>
      <c r="HA21" s="244"/>
      <c r="HB21" s="255"/>
      <c r="HC21" s="255"/>
      <c r="HD21" s="255"/>
      <c r="HE21" s="255"/>
      <c r="HF21" s="255"/>
      <c r="HG21" s="255"/>
      <c r="HH21" s="255"/>
      <c r="HI21" s="255"/>
      <c r="HJ21" s="255"/>
      <c r="HK21" s="255"/>
      <c r="HM21" s="257"/>
      <c r="HN21" s="244"/>
      <c r="HO21" s="255"/>
      <c r="HP21" s="255"/>
      <c r="HQ21" s="255"/>
      <c r="HR21" s="255"/>
      <c r="HS21" s="255"/>
      <c r="HT21" s="255"/>
      <c r="HU21" s="255"/>
      <c r="HV21" s="255"/>
      <c r="HW21" s="255"/>
      <c r="HX21" s="255"/>
      <c r="HZ21" s="257"/>
      <c r="IA21" s="244"/>
      <c r="IB21" s="255"/>
      <c r="IC21" s="255"/>
      <c r="ID21" s="255"/>
      <c r="IE21" s="255"/>
      <c r="IF21" s="255"/>
      <c r="IG21" s="255"/>
      <c r="IH21" s="255"/>
      <c r="II21" s="255"/>
      <c r="IJ21" s="255"/>
      <c r="IK21" s="255"/>
      <c r="IM21" s="257"/>
      <c r="IN21" s="244"/>
      <c r="IO21" s="255"/>
      <c r="IP21" s="255"/>
      <c r="IQ21" s="255"/>
      <c r="IR21" s="255"/>
      <c r="IS21" s="255"/>
      <c r="IT21" s="255"/>
      <c r="IU21" s="255"/>
      <c r="IV21" s="255"/>
    </row>
    <row r="22" spans="1:256" s="190" customFormat="1" ht="73.5" customHeight="1">
      <c r="A22" s="221" t="s">
        <v>26</v>
      </c>
      <c r="B22" s="372">
        <v>15.28</v>
      </c>
      <c r="C22" s="373">
        <v>403</v>
      </c>
      <c r="D22" s="169">
        <v>9.08</v>
      </c>
      <c r="E22" s="107">
        <v>125</v>
      </c>
      <c r="F22" s="169">
        <v>76</v>
      </c>
      <c r="G22" s="325">
        <v>21.63</v>
      </c>
      <c r="H22" s="169">
        <v>27.42</v>
      </c>
      <c r="I22" s="107">
        <v>240</v>
      </c>
      <c r="J22" s="169">
        <v>28.8</v>
      </c>
      <c r="K22" s="169">
        <v>408.52</v>
      </c>
      <c r="L22" s="223"/>
      <c r="M22" s="224"/>
      <c r="N22" s="187" t="s">
        <v>38</v>
      </c>
      <c r="O22" s="188"/>
      <c r="P22" s="113">
        <f>100*P23/M23</f>
        <v>37.05849373948794</v>
      </c>
      <c r="Q22" s="114">
        <f>100*Q23/M23</f>
        <v>32.19958886189497</v>
      </c>
      <c r="R22" s="115">
        <f>100*R23/M23</f>
        <v>30.74191739861708</v>
      </c>
      <c r="S22" s="189"/>
      <c r="T22" s="189"/>
      <c r="U22" s="189"/>
      <c r="V22" s="189"/>
      <c r="W22" s="189"/>
      <c r="X22" s="189"/>
      <c r="Z22" s="191"/>
      <c r="AA22" s="192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M22" s="191"/>
      <c r="AN22" s="192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Z22" s="191"/>
      <c r="BA22" s="192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M22" s="191"/>
      <c r="BN22" s="192"/>
      <c r="BO22" s="189"/>
      <c r="BP22" s="189"/>
      <c r="BQ22" s="189"/>
      <c r="BR22" s="189"/>
      <c r="BS22" s="189"/>
      <c r="BT22" s="189"/>
      <c r="BU22" s="189"/>
      <c r="BV22" s="189"/>
      <c r="BW22" s="189"/>
      <c r="BX22" s="189"/>
      <c r="BZ22" s="191"/>
      <c r="CA22" s="192"/>
      <c r="CB22" s="189"/>
      <c r="CC22" s="189"/>
      <c r="CD22" s="189"/>
      <c r="CE22" s="189"/>
      <c r="CF22" s="189"/>
      <c r="CG22" s="189"/>
      <c r="CH22" s="189"/>
      <c r="CI22" s="189"/>
      <c r="CJ22" s="189"/>
      <c r="CK22" s="189"/>
      <c r="CM22" s="191"/>
      <c r="CN22" s="192"/>
      <c r="CO22" s="189"/>
      <c r="CP22" s="189"/>
      <c r="CQ22" s="189"/>
      <c r="CR22" s="189"/>
      <c r="CS22" s="189"/>
      <c r="CT22" s="189"/>
      <c r="CU22" s="189"/>
      <c r="CV22" s="189"/>
      <c r="CW22" s="189"/>
      <c r="CX22" s="189"/>
      <c r="CZ22" s="191"/>
      <c r="DA22" s="192"/>
      <c r="DB22" s="189"/>
      <c r="DC22" s="189"/>
      <c r="DD22" s="189"/>
      <c r="DE22" s="189"/>
      <c r="DF22" s="189"/>
      <c r="DG22" s="189"/>
      <c r="DH22" s="189"/>
      <c r="DI22" s="189"/>
      <c r="DJ22" s="189"/>
      <c r="DK22" s="189"/>
      <c r="DM22" s="191"/>
      <c r="DN22" s="192"/>
      <c r="DO22" s="189"/>
      <c r="DP22" s="189"/>
      <c r="DQ22" s="189"/>
      <c r="DR22" s="189"/>
      <c r="DS22" s="189"/>
      <c r="DT22" s="189"/>
      <c r="DU22" s="189"/>
      <c r="DV22" s="189"/>
      <c r="DW22" s="189"/>
      <c r="DX22" s="189"/>
      <c r="DZ22" s="191"/>
      <c r="EA22" s="192"/>
      <c r="EB22" s="189"/>
      <c r="EC22" s="189"/>
      <c r="ED22" s="189"/>
      <c r="EE22" s="189"/>
      <c r="EF22" s="189"/>
      <c r="EG22" s="189"/>
      <c r="EH22" s="189"/>
      <c r="EI22" s="189"/>
      <c r="EJ22" s="189"/>
      <c r="EK22" s="189"/>
      <c r="EM22" s="191"/>
      <c r="EN22" s="192"/>
      <c r="EO22" s="189"/>
      <c r="EP22" s="189"/>
      <c r="EQ22" s="189"/>
      <c r="ER22" s="189"/>
      <c r="ES22" s="189"/>
      <c r="ET22" s="189"/>
      <c r="EU22" s="189"/>
      <c r="EV22" s="189"/>
      <c r="EW22" s="189"/>
      <c r="EX22" s="189"/>
      <c r="EZ22" s="191"/>
      <c r="FA22" s="192"/>
      <c r="FB22" s="189"/>
      <c r="FC22" s="189"/>
      <c r="FD22" s="189"/>
      <c r="FE22" s="189"/>
      <c r="FF22" s="189"/>
      <c r="FG22" s="189"/>
      <c r="FH22" s="189"/>
      <c r="FI22" s="189"/>
      <c r="FJ22" s="189"/>
      <c r="FK22" s="189"/>
      <c r="FM22" s="191"/>
      <c r="FN22" s="192"/>
      <c r="FO22" s="189"/>
      <c r="FP22" s="189"/>
      <c r="FQ22" s="189"/>
      <c r="FR22" s="189"/>
      <c r="FS22" s="189"/>
      <c r="FT22" s="189"/>
      <c r="FU22" s="189"/>
      <c r="FV22" s="189"/>
      <c r="FW22" s="189"/>
      <c r="FX22" s="189"/>
      <c r="FZ22" s="191"/>
      <c r="GA22" s="192"/>
      <c r="GB22" s="189"/>
      <c r="GC22" s="189"/>
      <c r="GD22" s="189"/>
      <c r="GE22" s="189"/>
      <c r="GF22" s="189"/>
      <c r="GG22" s="189"/>
      <c r="GH22" s="189"/>
      <c r="GI22" s="189"/>
      <c r="GJ22" s="189"/>
      <c r="GK22" s="189"/>
      <c r="GM22" s="191"/>
      <c r="GN22" s="192"/>
      <c r="GO22" s="189"/>
      <c r="GP22" s="189"/>
      <c r="GQ22" s="189"/>
      <c r="GR22" s="189"/>
      <c r="GS22" s="189"/>
      <c r="GT22" s="189"/>
      <c r="GU22" s="189"/>
      <c r="GV22" s="189"/>
      <c r="GW22" s="189"/>
      <c r="GX22" s="189"/>
      <c r="GZ22" s="191"/>
      <c r="HA22" s="192"/>
      <c r="HB22" s="189"/>
      <c r="HC22" s="189"/>
      <c r="HD22" s="189"/>
      <c r="HE22" s="189"/>
      <c r="HF22" s="189"/>
      <c r="HG22" s="189"/>
      <c r="HH22" s="189"/>
      <c r="HI22" s="189"/>
      <c r="HJ22" s="189"/>
      <c r="HK22" s="189"/>
      <c r="HM22" s="191"/>
      <c r="HN22" s="192"/>
      <c r="HO22" s="189"/>
      <c r="HP22" s="189"/>
      <c r="HQ22" s="189"/>
      <c r="HR22" s="189"/>
      <c r="HS22" s="189"/>
      <c r="HT22" s="189"/>
      <c r="HU22" s="189"/>
      <c r="HV22" s="189"/>
      <c r="HW22" s="189"/>
      <c r="HX22" s="189"/>
      <c r="HZ22" s="191"/>
      <c r="IA22" s="192"/>
      <c r="IB22" s="189"/>
      <c r="IC22" s="189"/>
      <c r="ID22" s="189"/>
      <c r="IE22" s="189"/>
      <c r="IF22" s="189"/>
      <c r="IG22" s="189"/>
      <c r="IH22" s="189"/>
      <c r="II22" s="189"/>
      <c r="IJ22" s="189"/>
      <c r="IK22" s="189"/>
      <c r="IM22" s="191"/>
      <c r="IN22" s="192"/>
      <c r="IO22" s="189"/>
      <c r="IP22" s="189"/>
      <c r="IQ22" s="189"/>
      <c r="IR22" s="189"/>
      <c r="IS22" s="189"/>
      <c r="IT22" s="189"/>
      <c r="IU22" s="189"/>
      <c r="IV22" s="189"/>
    </row>
    <row r="23" spans="1:256" s="190" customFormat="1" ht="73.5" customHeight="1">
      <c r="A23" s="129" t="s">
        <v>108</v>
      </c>
      <c r="B23" s="173">
        <f>IF(B22=0," ",IF(B22&lt;30,TRUNC(25.4347*(18-B22*B$66)^1.81)," "))</f>
        <v>576</v>
      </c>
      <c r="C23" s="174">
        <f>IF(C22&gt;100,TRUNC(0.14354*(C22*C$66-220)^1.4)," ")</f>
        <v>613</v>
      </c>
      <c r="D23" s="174">
        <f>IF(D22&gt;1,TRUNC(51.39*(D22*D$66-1.5)^1.05)," ")</f>
        <v>628</v>
      </c>
      <c r="E23" s="174">
        <f>IF(E22&gt;50,TRUNC(0.84565*(E22*E$66-75)^1.42)," ")</f>
        <v>571</v>
      </c>
      <c r="F23" s="174">
        <f>IF(F22=0," ",IF(F22&lt;120,TRUNC(1.53775*(82-F22*F$66)^1.81)," "))</f>
        <v>429</v>
      </c>
      <c r="G23" s="175">
        <f>IF(G22=0," ",IF(G22&lt;35,TRUNC(5.74352*(28.5-G22*G$66)^1.92)," "))</f>
        <v>461</v>
      </c>
      <c r="H23" s="174">
        <f>IF(H22&gt;2,TRUNC(12.91*(H22*H$66-4)^1.1)," ")</f>
        <v>502</v>
      </c>
      <c r="I23" s="174">
        <f>IF(I22&gt;50,TRUNC(0.2797*(I22*I$66-100)^1.35)," ")</f>
        <v>539</v>
      </c>
      <c r="J23" s="174">
        <f>IF(J22&gt;3,TRUNC(10.14*(J22*J$66-7)^1.08)," ")</f>
        <v>515</v>
      </c>
      <c r="K23" s="174">
        <f>IF(K22=0," ",IF(K22&lt;800.36,TRUNC(0.03768*(480-K22*K$66)^1.85)," "))</f>
        <v>517</v>
      </c>
      <c r="L23" s="258"/>
      <c r="M23" s="142">
        <f>SUM(B23:K23)</f>
        <v>5351</v>
      </c>
      <c r="N23" s="121"/>
      <c r="O23" s="132">
        <f>MAX(B23:K23)</f>
        <v>628</v>
      </c>
      <c r="P23" s="133">
        <f>SUM(B23,F23,G23,K23)</f>
        <v>1983</v>
      </c>
      <c r="Q23" s="134">
        <f>SUM(C23,E23,I23)</f>
        <v>1723</v>
      </c>
      <c r="R23" s="135">
        <f>SUM(D23,H23,J23)</f>
        <v>1645</v>
      </c>
      <c r="S23" s="189"/>
      <c r="T23" s="189"/>
      <c r="U23" s="189"/>
      <c r="V23" s="189"/>
      <c r="W23" s="189"/>
      <c r="X23" s="189"/>
      <c r="Z23" s="191"/>
      <c r="AA23" s="192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M23" s="191"/>
      <c r="AN23" s="192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Z23" s="191"/>
      <c r="BA23" s="192"/>
      <c r="BB23" s="189"/>
      <c r="BC23" s="189"/>
      <c r="BD23" s="189"/>
      <c r="BE23" s="189"/>
      <c r="BF23" s="189"/>
      <c r="BG23" s="189"/>
      <c r="BH23" s="189"/>
      <c r="BI23" s="189"/>
      <c r="BJ23" s="189"/>
      <c r="BK23" s="189"/>
      <c r="BM23" s="191"/>
      <c r="BN23" s="192"/>
      <c r="BO23" s="189"/>
      <c r="BP23" s="189"/>
      <c r="BQ23" s="189"/>
      <c r="BR23" s="189"/>
      <c r="BS23" s="189"/>
      <c r="BT23" s="189"/>
      <c r="BU23" s="189"/>
      <c r="BV23" s="189"/>
      <c r="BW23" s="189"/>
      <c r="BX23" s="189"/>
      <c r="BZ23" s="191"/>
      <c r="CA23" s="192"/>
      <c r="CB23" s="189"/>
      <c r="CC23" s="189"/>
      <c r="CD23" s="189"/>
      <c r="CE23" s="189"/>
      <c r="CF23" s="189"/>
      <c r="CG23" s="189"/>
      <c r="CH23" s="189"/>
      <c r="CI23" s="189"/>
      <c r="CJ23" s="189"/>
      <c r="CK23" s="189"/>
      <c r="CM23" s="191"/>
      <c r="CN23" s="192"/>
      <c r="CO23" s="189"/>
      <c r="CP23" s="189"/>
      <c r="CQ23" s="189"/>
      <c r="CR23" s="189"/>
      <c r="CS23" s="189"/>
      <c r="CT23" s="189"/>
      <c r="CU23" s="189"/>
      <c r="CV23" s="189"/>
      <c r="CW23" s="189"/>
      <c r="CX23" s="189"/>
      <c r="CZ23" s="191"/>
      <c r="DA23" s="192"/>
      <c r="DB23" s="189"/>
      <c r="DC23" s="189"/>
      <c r="DD23" s="189"/>
      <c r="DE23" s="189"/>
      <c r="DF23" s="189"/>
      <c r="DG23" s="189"/>
      <c r="DH23" s="189"/>
      <c r="DI23" s="189"/>
      <c r="DJ23" s="189"/>
      <c r="DK23" s="189"/>
      <c r="DM23" s="191"/>
      <c r="DN23" s="192"/>
      <c r="DO23" s="189"/>
      <c r="DP23" s="189"/>
      <c r="DQ23" s="189"/>
      <c r="DR23" s="189"/>
      <c r="DS23" s="189"/>
      <c r="DT23" s="189"/>
      <c r="DU23" s="189"/>
      <c r="DV23" s="189"/>
      <c r="DW23" s="189"/>
      <c r="DX23" s="189"/>
      <c r="DZ23" s="191"/>
      <c r="EA23" s="192"/>
      <c r="EB23" s="189"/>
      <c r="EC23" s="189"/>
      <c r="ED23" s="189"/>
      <c r="EE23" s="189"/>
      <c r="EF23" s="189"/>
      <c r="EG23" s="189"/>
      <c r="EH23" s="189"/>
      <c r="EI23" s="189"/>
      <c r="EJ23" s="189"/>
      <c r="EK23" s="189"/>
      <c r="EM23" s="191"/>
      <c r="EN23" s="192"/>
      <c r="EO23" s="189"/>
      <c r="EP23" s="189"/>
      <c r="EQ23" s="189"/>
      <c r="ER23" s="189"/>
      <c r="ES23" s="189"/>
      <c r="ET23" s="189"/>
      <c r="EU23" s="189"/>
      <c r="EV23" s="189"/>
      <c r="EW23" s="189"/>
      <c r="EX23" s="189"/>
      <c r="EZ23" s="191"/>
      <c r="FA23" s="192"/>
      <c r="FB23" s="189"/>
      <c r="FC23" s="189"/>
      <c r="FD23" s="189"/>
      <c r="FE23" s="189"/>
      <c r="FF23" s="189"/>
      <c r="FG23" s="189"/>
      <c r="FH23" s="189"/>
      <c r="FI23" s="189"/>
      <c r="FJ23" s="189"/>
      <c r="FK23" s="189"/>
      <c r="FM23" s="191"/>
      <c r="FN23" s="192"/>
      <c r="FO23" s="189"/>
      <c r="FP23" s="189"/>
      <c r="FQ23" s="189"/>
      <c r="FR23" s="189"/>
      <c r="FS23" s="189"/>
      <c r="FT23" s="189"/>
      <c r="FU23" s="189"/>
      <c r="FV23" s="189"/>
      <c r="FW23" s="189"/>
      <c r="FX23" s="189"/>
      <c r="FZ23" s="191"/>
      <c r="GA23" s="192"/>
      <c r="GB23" s="189"/>
      <c r="GC23" s="189"/>
      <c r="GD23" s="189"/>
      <c r="GE23" s="189"/>
      <c r="GF23" s="189"/>
      <c r="GG23" s="189"/>
      <c r="GH23" s="189"/>
      <c r="GI23" s="189"/>
      <c r="GJ23" s="189"/>
      <c r="GK23" s="189"/>
      <c r="GM23" s="191"/>
      <c r="GN23" s="192"/>
      <c r="GO23" s="189"/>
      <c r="GP23" s="189"/>
      <c r="GQ23" s="189"/>
      <c r="GR23" s="189"/>
      <c r="GS23" s="189"/>
      <c r="GT23" s="189"/>
      <c r="GU23" s="189"/>
      <c r="GV23" s="189"/>
      <c r="GW23" s="189"/>
      <c r="GX23" s="189"/>
      <c r="GZ23" s="191"/>
      <c r="HA23" s="192"/>
      <c r="HB23" s="189"/>
      <c r="HC23" s="189"/>
      <c r="HD23" s="189"/>
      <c r="HE23" s="189"/>
      <c r="HF23" s="189"/>
      <c r="HG23" s="189"/>
      <c r="HH23" s="189"/>
      <c r="HI23" s="189"/>
      <c r="HJ23" s="189"/>
      <c r="HK23" s="189"/>
      <c r="HM23" s="191"/>
      <c r="HN23" s="192"/>
      <c r="HO23" s="189"/>
      <c r="HP23" s="189"/>
      <c r="HQ23" s="189"/>
      <c r="HR23" s="189"/>
      <c r="HS23" s="189"/>
      <c r="HT23" s="189"/>
      <c r="HU23" s="189"/>
      <c r="HV23" s="189"/>
      <c r="HW23" s="189"/>
      <c r="HX23" s="189"/>
      <c r="HZ23" s="191"/>
      <c r="IA23" s="192"/>
      <c r="IB23" s="189"/>
      <c r="IC23" s="189"/>
      <c r="ID23" s="189"/>
      <c r="IE23" s="189"/>
      <c r="IF23" s="189"/>
      <c r="IG23" s="189"/>
      <c r="IH23" s="189"/>
      <c r="II23" s="189"/>
      <c r="IJ23" s="189"/>
      <c r="IK23" s="189"/>
      <c r="IM23" s="191"/>
      <c r="IN23" s="192"/>
      <c r="IO23" s="189"/>
      <c r="IP23" s="189"/>
      <c r="IQ23" s="189"/>
      <c r="IR23" s="189"/>
      <c r="IS23" s="189"/>
      <c r="IT23" s="189"/>
      <c r="IU23" s="189"/>
      <c r="IV23" s="189"/>
    </row>
    <row r="24" spans="1:18" s="105" customFormat="1" ht="73.5" customHeight="1">
      <c r="A24" s="105" t="s">
        <v>39</v>
      </c>
      <c r="B24" s="259">
        <v>16.25</v>
      </c>
      <c r="C24" s="260">
        <v>314</v>
      </c>
      <c r="D24" s="261">
        <v>6.97</v>
      </c>
      <c r="E24" s="260">
        <v>115</v>
      </c>
      <c r="F24" s="261">
        <v>80.9</v>
      </c>
      <c r="G24" s="262">
        <v>24.32</v>
      </c>
      <c r="H24" s="261">
        <v>18.5</v>
      </c>
      <c r="I24" s="260">
        <v>210</v>
      </c>
      <c r="J24" s="261">
        <v>21.43</v>
      </c>
      <c r="K24" s="261">
        <v>431.72</v>
      </c>
      <c r="L24" s="127"/>
      <c r="M24" s="141"/>
      <c r="N24" s="128" t="s">
        <v>37</v>
      </c>
      <c r="O24" s="112"/>
      <c r="P24" s="113">
        <f>100*P25/M25</f>
        <v>38.30409356725146</v>
      </c>
      <c r="Q24" s="114">
        <f>100*Q25/M25</f>
        <v>32.3498139287613</v>
      </c>
      <c r="R24" s="115">
        <f>100*R25/M25</f>
        <v>29.34609250398724</v>
      </c>
    </row>
    <row r="25" spans="1:18" s="126" customFormat="1" ht="73.5" customHeight="1">
      <c r="A25" s="129" t="s">
        <v>108</v>
      </c>
      <c r="B25" s="173">
        <f>IF(B24=0," ",IF(B24&lt;30,TRUNC(25.4347*(18-B24*B$66)^1.81)," "))</f>
        <v>438</v>
      </c>
      <c r="C25" s="174">
        <f>IF(C24&gt;100,TRUNC(0.14354*(C24*C$66-220)^1.4)," ")</f>
        <v>339</v>
      </c>
      <c r="D25" s="174">
        <f>IF(D24&gt;1,TRUNC(51.39*(D24*D$66-1.5)^1.05)," ")</f>
        <v>455</v>
      </c>
      <c r="E25" s="174">
        <f>IF(E24&gt;50,TRUNC(0.84565*(E24*E$66-75)^1.42)," ")</f>
        <v>460</v>
      </c>
      <c r="F25" s="174">
        <f>IF(F24=0," ",IF(F24&lt;120,TRUNC(1.53775*(82-F24*F$66)^1.81)," "))</f>
        <v>305</v>
      </c>
      <c r="G25" s="175">
        <f>IF(G24=0," ",IF(G24&lt;35,TRUNC(5.74352*(28.5-G24*G$66)^1.92)," "))</f>
        <v>274</v>
      </c>
      <c r="H25" s="174">
        <f>IF(H24&gt;2,TRUNC(12.91*(H24*H$66-4)^1.1)," ")</f>
        <v>301</v>
      </c>
      <c r="I25" s="174">
        <f>IF(I24&gt;50,TRUNC(0.2797*(I24*I$66-100)^1.35)," ")</f>
        <v>418</v>
      </c>
      <c r="J25" s="174">
        <f>IF(J24&gt;3,TRUNC(10.14*(J24*J$66-7)^1.08)," ")</f>
        <v>348</v>
      </c>
      <c r="K25" s="174">
        <f>IF(K24=0," ",IF(K24&lt;800.36,TRUNC(0.03768*(480-K24*K$66)^1.85)," "))</f>
        <v>424</v>
      </c>
      <c r="L25" s="258"/>
      <c r="M25" s="142">
        <f>SUM(B25:K25)</f>
        <v>3762</v>
      </c>
      <c r="N25" s="121"/>
      <c r="O25" s="132">
        <f>MAX(B25:K25)</f>
        <v>460</v>
      </c>
      <c r="P25" s="133">
        <f>SUM(B25,F25,G25,K25)</f>
        <v>1441</v>
      </c>
      <c r="Q25" s="134">
        <f>SUM(C25,E25,I25)</f>
        <v>1217</v>
      </c>
      <c r="R25" s="135">
        <f>SUM(D25,H25,J25)</f>
        <v>1104</v>
      </c>
    </row>
    <row r="26" spans="1:18" s="164" customFormat="1" ht="73.5" customHeight="1">
      <c r="A26" s="164" t="s">
        <v>40</v>
      </c>
      <c r="B26" s="165">
        <v>15.5</v>
      </c>
      <c r="C26" s="166">
        <v>331</v>
      </c>
      <c r="D26" s="167">
        <v>6.84</v>
      </c>
      <c r="E26" s="166">
        <v>120</v>
      </c>
      <c r="F26" s="167">
        <v>80.8</v>
      </c>
      <c r="G26" s="168"/>
      <c r="H26" s="167">
        <v>18.37</v>
      </c>
      <c r="I26" s="225">
        <v>160</v>
      </c>
      <c r="J26" s="167">
        <v>16.13</v>
      </c>
      <c r="K26" s="169"/>
      <c r="L26" s="170"/>
      <c r="M26" s="171"/>
      <c r="N26" s="163" t="s">
        <v>36</v>
      </c>
      <c r="O26" s="263"/>
      <c r="P26" s="226">
        <f>100*P27/M27</f>
        <v>28.687141410732366</v>
      </c>
      <c r="Q26" s="227">
        <f>100*Q27/M27</f>
        <v>38.44076949038137</v>
      </c>
      <c r="R26" s="228">
        <f>100*R27/M27</f>
        <v>32.87208909888626</v>
      </c>
    </row>
    <row r="27" spans="1:18" s="269" customFormat="1" ht="73.5" customHeight="1">
      <c r="A27" s="129" t="s">
        <v>108</v>
      </c>
      <c r="B27" s="173">
        <f>IF(B26=0," ",IF(B26&lt;30,TRUNC(25.4347*(18-B26*B$66)^1.81)," "))</f>
        <v>543</v>
      </c>
      <c r="C27" s="174">
        <f>IF(C26&gt;100,TRUNC(0.14354*(C26*C$66-220)^1.4)," ")</f>
        <v>387</v>
      </c>
      <c r="D27" s="174">
        <f>IF(D26&gt;1,TRUNC(51.39*(D26*D$66-1.5)^1.05)," ")</f>
        <v>444</v>
      </c>
      <c r="E27" s="174">
        <f>IF(E26&gt;50,TRUNC(0.84565*(E26*E$66-75)^1.42)," ")</f>
        <v>515</v>
      </c>
      <c r="F27" s="174">
        <f>IF(F26=0," ",IF(F26&lt;120,TRUNC(1.53775*(82-F26*F$66)^1.81)," "))</f>
        <v>307</v>
      </c>
      <c r="G27" s="175" t="str">
        <f>IF(G26=0," ",IF(G26&lt;35,TRUNC(5.74352*(28.5-G26*G$66)^1.92)," "))</f>
        <v> </v>
      </c>
      <c r="H27" s="174">
        <f>IF(H26&gt;2,TRUNC(12.91*(H26*H$66-4)^1.1)," ")</f>
        <v>298</v>
      </c>
      <c r="I27" s="174">
        <f>IF(I26&gt;50,TRUNC(0.2797*(I26*I$66-100)^1.35)," ")</f>
        <v>237</v>
      </c>
      <c r="J27" s="174">
        <f>IF(J26&gt;3,TRUNC(10.14*(J26*J$66-7)^1.08)," ")</f>
        <v>232</v>
      </c>
      <c r="K27" s="174" t="str">
        <f>IF(K26=0," ",IF(K26&lt;800.36,TRUNC(0.03768*(480-K26*K$66)^1.85)," "))</f>
        <v> </v>
      </c>
      <c r="L27" s="176"/>
      <c r="M27" s="177">
        <f>SUM(B27:K27)</f>
        <v>2963</v>
      </c>
      <c r="N27" s="264"/>
      <c r="O27" s="265">
        <f>MAX(B27:K27)</f>
        <v>543</v>
      </c>
      <c r="P27" s="266">
        <f>SUM(B27,F27,G27,K27)</f>
        <v>850</v>
      </c>
      <c r="Q27" s="267">
        <f>SUM(C27,E27,I27)</f>
        <v>1139</v>
      </c>
      <c r="R27" s="268">
        <f>SUM(D27,H27,J27)</f>
        <v>974</v>
      </c>
    </row>
    <row r="28" spans="1:18" s="105" customFormat="1" ht="73.5" customHeight="1">
      <c r="A28" s="105" t="s">
        <v>44</v>
      </c>
      <c r="B28" s="259">
        <v>17.35</v>
      </c>
      <c r="C28" s="260">
        <v>292</v>
      </c>
      <c r="D28" s="261">
        <v>8.3</v>
      </c>
      <c r="E28" s="260">
        <v>110</v>
      </c>
      <c r="F28" s="261">
        <v>100.3</v>
      </c>
      <c r="G28" s="262"/>
      <c r="H28" s="261">
        <v>22.66</v>
      </c>
      <c r="I28" s="260"/>
      <c r="J28" s="261">
        <v>20</v>
      </c>
      <c r="K28" s="261"/>
      <c r="L28" s="127"/>
      <c r="M28" s="141"/>
      <c r="N28" s="128" t="s">
        <v>35</v>
      </c>
      <c r="O28" s="112"/>
      <c r="P28" s="113">
        <f>100*P29/M29</f>
        <v>13.877909530083443</v>
      </c>
      <c r="Q28" s="114">
        <f>100*Q29/M29</f>
        <v>30.12736056214317</v>
      </c>
      <c r="R28" s="115">
        <f>100*R29/M29</f>
        <v>55.99472990777338</v>
      </c>
    </row>
    <row r="29" spans="1:18" s="126" customFormat="1" ht="73.5" customHeight="1">
      <c r="A29" s="129" t="s">
        <v>108</v>
      </c>
      <c r="B29" s="173">
        <f>IF(B28=0," ",IF(B28&lt;30,TRUNC(25.4347*(18-B28*B$66)^1.81)," "))</f>
        <v>302</v>
      </c>
      <c r="C29" s="174">
        <f>IF(C28&gt;100,TRUNC(0.14354*(C28*C$66-220)^1.4)," ")</f>
        <v>279</v>
      </c>
      <c r="D29" s="174">
        <f>IF(D28&gt;1,TRUNC(51.39*(D28*D$66-1.5)^1.05)," ")</f>
        <v>564</v>
      </c>
      <c r="E29" s="174">
        <f>IF(E28&gt;50,TRUNC(0.84565*(E28*E$66-75)^1.42)," ")</f>
        <v>407</v>
      </c>
      <c r="F29" s="174">
        <f>IF(F28=0," ",IF(F28&lt;120,TRUNC(1.53775*(82-F28*F$66)^1.81)," "))</f>
        <v>14</v>
      </c>
      <c r="G29" s="175" t="str">
        <f>IF(G28=0," ",IF(G28&lt;35,TRUNC(5.74352*(28.5-G28*G$66)^1.92)," "))</f>
        <v> </v>
      </c>
      <c r="H29" s="174">
        <f>IF(H28&gt;2,TRUNC(12.91*(H28*H$66-4)^1.1)," ")</f>
        <v>394</v>
      </c>
      <c r="I29" s="174" t="str">
        <f>IF(I28&gt;50,TRUNC(0.2797*(I28*I$66-100)^1.35)," ")</f>
        <v> </v>
      </c>
      <c r="J29" s="174">
        <f>IF(J28&gt;3,TRUNC(10.14*(J28*J$66-7)^1.08)," ")</f>
        <v>317</v>
      </c>
      <c r="K29" s="174" t="str">
        <f>IF(K28=0," ",IF(K28&lt;800.36,TRUNC(0.03768*(480-K28*K$66)^1.85)," "))</f>
        <v> </v>
      </c>
      <c r="L29" s="258"/>
      <c r="M29" s="142">
        <f>SUM(B29:K29)</f>
        <v>2277</v>
      </c>
      <c r="N29" s="121"/>
      <c r="O29" s="132">
        <f>MAX(B29:K29)</f>
        <v>564</v>
      </c>
      <c r="P29" s="133">
        <f>SUM(B29,F29,G29,K29)</f>
        <v>316</v>
      </c>
      <c r="Q29" s="134">
        <f>SUM(C29,E29,I29)</f>
        <v>686</v>
      </c>
      <c r="R29" s="135">
        <f>SUM(D29,H29,J29)</f>
        <v>1275</v>
      </c>
    </row>
    <row r="30" spans="1:18" s="105" customFormat="1" ht="73.5" customHeight="1">
      <c r="A30" s="105" t="s">
        <v>128</v>
      </c>
      <c r="B30" s="165">
        <v>18.27</v>
      </c>
      <c r="C30" s="166">
        <v>244</v>
      </c>
      <c r="D30" s="167">
        <v>6.46</v>
      </c>
      <c r="E30" s="166">
        <v>105</v>
      </c>
      <c r="F30" s="167">
        <v>93</v>
      </c>
      <c r="G30" s="168"/>
      <c r="H30" s="167">
        <v>17.18</v>
      </c>
      <c r="I30" s="107">
        <v>180</v>
      </c>
      <c r="J30" s="169">
        <v>14.93</v>
      </c>
      <c r="K30" s="169"/>
      <c r="L30" s="127"/>
      <c r="M30" s="141"/>
      <c r="N30" s="128" t="s">
        <v>34</v>
      </c>
      <c r="O30" s="112"/>
      <c r="P30" s="113">
        <f>100*P31/M31</f>
        <v>14.471057884231536</v>
      </c>
      <c r="Q30" s="114">
        <f>100*Q31/M31</f>
        <v>41.06786427145708</v>
      </c>
      <c r="R30" s="115">
        <f>100*R31/M31</f>
        <v>44.461077844311376</v>
      </c>
    </row>
    <row r="31" spans="1:256" s="179" customFormat="1" ht="73.5" customHeight="1">
      <c r="A31" s="129" t="s">
        <v>108</v>
      </c>
      <c r="B31" s="173">
        <f>IF(B30=0," ",IF(B30&lt;30,TRUNC(25.4347*(18-B30*B$66)^1.81)," "))</f>
        <v>206</v>
      </c>
      <c r="C31" s="174">
        <f>IF(C30&gt;100,TRUNC(0.14354*(C30*C$66-220)^1.4)," ")</f>
        <v>160</v>
      </c>
      <c r="D31" s="174">
        <f>IF(D30&gt;1,TRUNC(51.39*(D30*D$66-1.5)^1.05)," ")</f>
        <v>413</v>
      </c>
      <c r="E31" s="174">
        <f>IF(E30&gt;50,TRUNC(0.84565*(E30*E$66-75)^1.42)," ")</f>
        <v>357</v>
      </c>
      <c r="F31" s="174">
        <f>IF(F30=0," ",IF(F30&lt;120,TRUNC(1.53775*(82-F30*F$66)^1.81)," "))</f>
        <v>84</v>
      </c>
      <c r="G31" s="175" t="str">
        <f>IF(G30=0," ",IF(G30&lt;35,TRUNC(5.74352*(28.5-G30*G$66)^1.92)," "))</f>
        <v> </v>
      </c>
      <c r="H31" s="174">
        <f>IF(H30&gt;2,TRUNC(12.91*(H30*H$66-4)^1.1)," ")</f>
        <v>272</v>
      </c>
      <c r="I31" s="174">
        <f>IF(I30&gt;50,TRUNC(0.2797*(I30*I$66-100)^1.35)," ")</f>
        <v>306</v>
      </c>
      <c r="J31" s="174">
        <f>IF(J30&gt;3,TRUNC(10.14*(J30*J$66-7)^1.08)," ")</f>
        <v>206</v>
      </c>
      <c r="K31" s="174" t="str">
        <f>IF(K30=0," ",IF(K30&lt;800.36,TRUNC(0.03768*(480-K30*K$66)^1.85)," "))</f>
        <v> </v>
      </c>
      <c r="L31" s="258"/>
      <c r="M31" s="142">
        <f>SUM(B31:K31)</f>
        <v>2004</v>
      </c>
      <c r="N31" s="121"/>
      <c r="O31" s="132">
        <f>MAX(B31:K31)</f>
        <v>413</v>
      </c>
      <c r="P31" s="133">
        <f>SUM(B31,F31,G31,K31)</f>
        <v>290</v>
      </c>
      <c r="Q31" s="134">
        <f>SUM(C31,E31,I31)</f>
        <v>823</v>
      </c>
      <c r="R31" s="135">
        <f>SUM(D31,H31,J31)</f>
        <v>891</v>
      </c>
      <c r="S31" s="131" t="str">
        <f>IF(S30=0," ",IF(S30&lt;99.46,TRUNC(1.53775*(82-S30*S$65)^1.81)," "))</f>
        <v> </v>
      </c>
      <c r="T31" s="131" t="str">
        <f>IF(T30=0," ",IF(T30&lt;31,TRUNC(5.74352*(28.5-T30*T$65)^1.92)," "))</f>
        <v> </v>
      </c>
      <c r="U31" s="131" t="str">
        <f>IF(U30&gt;3.7,TRUNC(12.91*(U30*U$65-4)^1.1)," ")</f>
        <v> </v>
      </c>
      <c r="V31" s="131" t="str">
        <f>IF(V30&gt;69,TRUNC(0.2797*(V30*V$65-100)^1.35)," ")</f>
        <v> </v>
      </c>
      <c r="W31" s="131" t="str">
        <f>IF(W30&gt;4.8,TRUNC(10.14*(W30*W$65-7)^1.08)," ")</f>
        <v> </v>
      </c>
      <c r="X31" s="178" t="str">
        <f>IF(X30=0," ",IF(X30&lt;604.36,TRUNC(0.03768*(480-X30*X$65)^1.85)," "))</f>
        <v> </v>
      </c>
      <c r="Z31" s="142">
        <f>SUM(O31:X31)</f>
        <v>2417</v>
      </c>
      <c r="AA31" s="129" t="s">
        <v>129</v>
      </c>
      <c r="AB31" s="130" t="str">
        <f>IF(AB30=0," ",IF(AB30&lt;21.7,TRUNC(25.4347*(18-AB30*AB$65)^1.81)," "))</f>
        <v> </v>
      </c>
      <c r="AC31" s="131" t="str">
        <f>IF(AC30&gt;155,TRUNC(0.14354*(AC30*AC$65-220)^1.4)," ")</f>
        <v> </v>
      </c>
      <c r="AD31" s="131" t="str">
        <f>IF(AD30&gt;1.2,TRUNC(51.39*(AD30*AD$65-1.5)^1.05)," ")</f>
        <v> </v>
      </c>
      <c r="AE31" s="131" t="str">
        <f>IF(AE30&gt;55,TRUNC(0.84565*(AE30*AE$65-75)^1.42)," ")</f>
        <v> </v>
      </c>
      <c r="AF31" s="131" t="str">
        <f>IF(AF30=0," ",IF(AF30&lt;99.46,TRUNC(1.53775*(82-AF30*AF$65)^1.81)," "))</f>
        <v> </v>
      </c>
      <c r="AG31" s="131" t="str">
        <f>IF(AG30=0," ",IF(AG30&lt;31,TRUNC(5.74352*(28.5-AG30*AG$65)^1.92)," "))</f>
        <v> </v>
      </c>
      <c r="AH31" s="131" t="str">
        <f>IF(AH30&gt;3.7,TRUNC(12.91*(AH30*AH$65-4)^1.1)," ")</f>
        <v> </v>
      </c>
      <c r="AI31" s="131" t="str">
        <f>IF(AI30&gt;69,TRUNC(0.2797*(AI30*AI$65-100)^1.35)," ")</f>
        <v> </v>
      </c>
      <c r="AJ31" s="131" t="str">
        <f>IF(AJ30&gt;4.8,TRUNC(10.14*(AJ30*AJ$65-7)^1.08)," ")</f>
        <v> </v>
      </c>
      <c r="AK31" s="178" t="str">
        <f>IF(AK30=0," ",IF(AK30&lt;604.36,TRUNC(0.03768*(480-AK30*AK$65)^1.85)," "))</f>
        <v> </v>
      </c>
      <c r="AM31" s="142">
        <f>SUM(AB31:AK31)</f>
        <v>0</v>
      </c>
      <c r="AN31" s="129" t="s">
        <v>129</v>
      </c>
      <c r="AO31" s="130" t="str">
        <f>IF(AO30=0," ",IF(AO30&lt;21.7,TRUNC(25.4347*(18-AO30*AO$65)^1.81)," "))</f>
        <v> </v>
      </c>
      <c r="AP31" s="131" t="str">
        <f>IF(AP30&gt;155,TRUNC(0.14354*(AP30*AP$65-220)^1.4)," ")</f>
        <v> </v>
      </c>
      <c r="AQ31" s="131" t="str">
        <f>IF(AQ30&gt;1.2,TRUNC(51.39*(AQ30*AQ$65-1.5)^1.05)," ")</f>
        <v> </v>
      </c>
      <c r="AR31" s="131" t="str">
        <f>IF(AR30&gt;55,TRUNC(0.84565*(AR30*AR$65-75)^1.42)," ")</f>
        <v> </v>
      </c>
      <c r="AS31" s="131" t="str">
        <f>IF(AS30=0," ",IF(AS30&lt;99.46,TRUNC(1.53775*(82-AS30*AS$65)^1.81)," "))</f>
        <v> </v>
      </c>
      <c r="AT31" s="131" t="str">
        <f>IF(AT30=0," ",IF(AT30&lt;31,TRUNC(5.74352*(28.5-AT30*AT$65)^1.92)," "))</f>
        <v> </v>
      </c>
      <c r="AU31" s="131" t="str">
        <f>IF(AU30&gt;3.7,TRUNC(12.91*(AU30*AU$65-4)^1.1)," ")</f>
        <v> </v>
      </c>
      <c r="AV31" s="131" t="str">
        <f>IF(AV30&gt;69,TRUNC(0.2797*(AV30*AV$65-100)^1.35)," ")</f>
        <v> </v>
      </c>
      <c r="AW31" s="131" t="str">
        <f>IF(AW30&gt;4.8,TRUNC(10.14*(AW30*AW$65-7)^1.08)," ")</f>
        <v> </v>
      </c>
      <c r="AX31" s="178" t="str">
        <f>IF(AX30=0," ",IF(AX30&lt;604.36,TRUNC(0.03768*(480-AX30*AX$65)^1.85)," "))</f>
        <v> </v>
      </c>
      <c r="AZ31" s="142">
        <f>SUM(AO31:AX31)</f>
        <v>0</v>
      </c>
      <c r="BA31" s="129" t="s">
        <v>129</v>
      </c>
      <c r="BB31" s="130" t="str">
        <f>IF(BB30=0," ",IF(BB30&lt;21.7,TRUNC(25.4347*(18-BB30*BB$65)^1.81)," "))</f>
        <v> </v>
      </c>
      <c r="BC31" s="131" t="str">
        <f>IF(BC30&gt;155,TRUNC(0.14354*(BC30*BC$65-220)^1.4)," ")</f>
        <v> </v>
      </c>
      <c r="BD31" s="131" t="str">
        <f>IF(BD30&gt;1.2,TRUNC(51.39*(BD30*BD$65-1.5)^1.05)," ")</f>
        <v> </v>
      </c>
      <c r="BE31" s="131" t="str">
        <f>IF(BE30&gt;55,TRUNC(0.84565*(BE30*BE$65-75)^1.42)," ")</f>
        <v> </v>
      </c>
      <c r="BF31" s="131" t="str">
        <f>IF(BF30=0," ",IF(BF30&lt;99.46,TRUNC(1.53775*(82-BF30*BF$65)^1.81)," "))</f>
        <v> </v>
      </c>
      <c r="BG31" s="131" t="str">
        <f>IF(BG30=0," ",IF(BG30&lt;31,TRUNC(5.74352*(28.5-BG30*BG$65)^1.92)," "))</f>
        <v> </v>
      </c>
      <c r="BH31" s="131" t="str">
        <f>IF(BH30&gt;3.7,TRUNC(12.91*(BH30*BH$65-4)^1.1)," ")</f>
        <v> </v>
      </c>
      <c r="BI31" s="131" t="str">
        <f>IF(BI30&gt;69,TRUNC(0.2797*(BI30*BI$65-100)^1.35)," ")</f>
        <v> </v>
      </c>
      <c r="BJ31" s="131" t="str">
        <f>IF(BJ30&gt;4.8,TRUNC(10.14*(BJ30*BJ$65-7)^1.08)," ")</f>
        <v> </v>
      </c>
      <c r="BK31" s="178" t="str">
        <f>IF(BK30=0," ",IF(BK30&lt;604.36,TRUNC(0.03768*(480-BK30*BK$65)^1.85)," "))</f>
        <v> </v>
      </c>
      <c r="BM31" s="142">
        <f>SUM(BB31:BK31)</f>
        <v>0</v>
      </c>
      <c r="BN31" s="129" t="s">
        <v>129</v>
      </c>
      <c r="BO31" s="130" t="str">
        <f>IF(BO30=0," ",IF(BO30&lt;21.7,TRUNC(25.4347*(18-BO30*BO$65)^1.81)," "))</f>
        <v> </v>
      </c>
      <c r="BP31" s="131" t="str">
        <f>IF(BP30&gt;155,TRUNC(0.14354*(BP30*BP$65-220)^1.4)," ")</f>
        <v> </v>
      </c>
      <c r="BQ31" s="131" t="str">
        <f>IF(BQ30&gt;1.2,TRUNC(51.39*(BQ30*BQ$65-1.5)^1.05)," ")</f>
        <v> </v>
      </c>
      <c r="BR31" s="131" t="str">
        <f>IF(BR30&gt;55,TRUNC(0.84565*(BR30*BR$65-75)^1.42)," ")</f>
        <v> </v>
      </c>
      <c r="BS31" s="131" t="str">
        <f>IF(BS30=0," ",IF(BS30&lt;99.46,TRUNC(1.53775*(82-BS30*BS$65)^1.81)," "))</f>
        <v> </v>
      </c>
      <c r="BT31" s="131" t="str">
        <f>IF(BT30=0," ",IF(BT30&lt;31,TRUNC(5.74352*(28.5-BT30*BT$65)^1.92)," "))</f>
        <v> </v>
      </c>
      <c r="BU31" s="131" t="str">
        <f>IF(BU30&gt;3.7,TRUNC(12.91*(BU30*BU$65-4)^1.1)," ")</f>
        <v> </v>
      </c>
      <c r="BV31" s="131" t="str">
        <f>IF(BV30&gt;69,TRUNC(0.2797*(BV30*BV$65-100)^1.35)," ")</f>
        <v> </v>
      </c>
      <c r="BW31" s="131" t="str">
        <f>IF(BW30&gt;4.8,TRUNC(10.14*(BW30*BW$65-7)^1.08)," ")</f>
        <v> </v>
      </c>
      <c r="BX31" s="178" t="str">
        <f>IF(BX30=0," ",IF(BX30&lt;604.36,TRUNC(0.03768*(480-BX30*BX$65)^1.85)," "))</f>
        <v> </v>
      </c>
      <c r="BZ31" s="142">
        <f>SUM(BO31:BX31)</f>
        <v>0</v>
      </c>
      <c r="CA31" s="129" t="s">
        <v>129</v>
      </c>
      <c r="CB31" s="130" t="str">
        <f>IF(CB30=0," ",IF(CB30&lt;21.7,TRUNC(25.4347*(18-CB30*CB$65)^1.81)," "))</f>
        <v> </v>
      </c>
      <c r="CC31" s="131" t="str">
        <f>IF(CC30&gt;155,TRUNC(0.14354*(CC30*CC$65-220)^1.4)," ")</f>
        <v> </v>
      </c>
      <c r="CD31" s="131" t="str">
        <f>IF(CD30&gt;1.2,TRUNC(51.39*(CD30*CD$65-1.5)^1.05)," ")</f>
        <v> </v>
      </c>
      <c r="CE31" s="131" t="str">
        <f>IF(CE30&gt;55,TRUNC(0.84565*(CE30*CE$65-75)^1.42)," ")</f>
        <v> </v>
      </c>
      <c r="CF31" s="131" t="str">
        <f>IF(CF30=0," ",IF(CF30&lt;99.46,TRUNC(1.53775*(82-CF30*CF$65)^1.81)," "))</f>
        <v> </v>
      </c>
      <c r="CG31" s="131" t="str">
        <f>IF(CG30=0," ",IF(CG30&lt;31,TRUNC(5.74352*(28.5-CG30*CG$65)^1.92)," "))</f>
        <v> </v>
      </c>
      <c r="CH31" s="131" t="str">
        <f>IF(CH30&gt;3.7,TRUNC(12.91*(CH30*CH$65-4)^1.1)," ")</f>
        <v> </v>
      </c>
      <c r="CI31" s="131" t="str">
        <f>IF(CI30&gt;69,TRUNC(0.2797*(CI30*CI$65-100)^1.35)," ")</f>
        <v> </v>
      </c>
      <c r="CJ31" s="131" t="str">
        <f>IF(CJ30&gt;4.8,TRUNC(10.14*(CJ30*CJ$65-7)^1.08)," ")</f>
        <v> </v>
      </c>
      <c r="CK31" s="178" t="str">
        <f>IF(CK30=0," ",IF(CK30&lt;604.36,TRUNC(0.03768*(480-CK30*CK$65)^1.85)," "))</f>
        <v> </v>
      </c>
      <c r="CM31" s="142">
        <f>SUM(CB31:CK31)</f>
        <v>0</v>
      </c>
      <c r="CN31" s="129" t="s">
        <v>129</v>
      </c>
      <c r="CO31" s="130" t="str">
        <f>IF(CO30=0," ",IF(CO30&lt;21.7,TRUNC(25.4347*(18-CO30*CO$65)^1.81)," "))</f>
        <v> </v>
      </c>
      <c r="CP31" s="131" t="str">
        <f>IF(CP30&gt;155,TRUNC(0.14354*(CP30*CP$65-220)^1.4)," ")</f>
        <v> </v>
      </c>
      <c r="CQ31" s="131" t="str">
        <f>IF(CQ30&gt;1.2,TRUNC(51.39*(CQ30*CQ$65-1.5)^1.05)," ")</f>
        <v> </v>
      </c>
      <c r="CR31" s="131" t="str">
        <f>IF(CR30&gt;55,TRUNC(0.84565*(CR30*CR$65-75)^1.42)," ")</f>
        <v> </v>
      </c>
      <c r="CS31" s="131" t="str">
        <f>IF(CS30=0," ",IF(CS30&lt;99.46,TRUNC(1.53775*(82-CS30*CS$65)^1.81)," "))</f>
        <v> </v>
      </c>
      <c r="CT31" s="131" t="str">
        <f>IF(CT30=0," ",IF(CT30&lt;31,TRUNC(5.74352*(28.5-CT30*CT$65)^1.92)," "))</f>
        <v> </v>
      </c>
      <c r="CU31" s="131" t="str">
        <f>IF(CU30&gt;3.7,TRUNC(12.91*(CU30*CU$65-4)^1.1)," ")</f>
        <v> </v>
      </c>
      <c r="CV31" s="131" t="str">
        <f>IF(CV30&gt;69,TRUNC(0.2797*(CV30*CV$65-100)^1.35)," ")</f>
        <v> </v>
      </c>
      <c r="CW31" s="131" t="str">
        <f>IF(CW30&gt;4.8,TRUNC(10.14*(CW30*CW$65-7)^1.08)," ")</f>
        <v> </v>
      </c>
      <c r="CX31" s="178" t="str">
        <f>IF(CX30=0," ",IF(CX30&lt;604.36,TRUNC(0.03768*(480-CX30*CX$65)^1.85)," "))</f>
        <v> </v>
      </c>
      <c r="CZ31" s="142">
        <f>SUM(CO31:CX31)</f>
        <v>0</v>
      </c>
      <c r="DA31" s="129" t="s">
        <v>129</v>
      </c>
      <c r="DB31" s="130" t="str">
        <f>IF(DB30=0," ",IF(DB30&lt;21.7,TRUNC(25.4347*(18-DB30*DB$65)^1.81)," "))</f>
        <v> </v>
      </c>
      <c r="DC31" s="131" t="str">
        <f>IF(DC30&gt;155,TRUNC(0.14354*(DC30*DC$65-220)^1.4)," ")</f>
        <v> </v>
      </c>
      <c r="DD31" s="131" t="str">
        <f>IF(DD30&gt;1.2,TRUNC(51.39*(DD30*DD$65-1.5)^1.05)," ")</f>
        <v> </v>
      </c>
      <c r="DE31" s="131" t="str">
        <f>IF(DE30&gt;55,TRUNC(0.84565*(DE30*DE$65-75)^1.42)," ")</f>
        <v> </v>
      </c>
      <c r="DF31" s="131" t="str">
        <f>IF(DF30=0," ",IF(DF30&lt;99.46,TRUNC(1.53775*(82-DF30*DF$65)^1.81)," "))</f>
        <v> </v>
      </c>
      <c r="DG31" s="131" t="str">
        <f>IF(DG30=0," ",IF(DG30&lt;31,TRUNC(5.74352*(28.5-DG30*DG$65)^1.92)," "))</f>
        <v> </v>
      </c>
      <c r="DH31" s="131" t="str">
        <f>IF(DH30&gt;3.7,TRUNC(12.91*(DH30*DH$65-4)^1.1)," ")</f>
        <v> </v>
      </c>
      <c r="DI31" s="131" t="str">
        <f>IF(DI30&gt;69,TRUNC(0.2797*(DI30*DI$65-100)^1.35)," ")</f>
        <v> </v>
      </c>
      <c r="DJ31" s="131" t="str">
        <f>IF(DJ30&gt;4.8,TRUNC(10.14*(DJ30*DJ$65-7)^1.08)," ")</f>
        <v> </v>
      </c>
      <c r="DK31" s="178" t="str">
        <f>IF(DK30=0," ",IF(DK30&lt;604.36,TRUNC(0.03768*(480-DK30*DK$65)^1.85)," "))</f>
        <v> </v>
      </c>
      <c r="DM31" s="142">
        <f>SUM(DB31:DK31)</f>
        <v>0</v>
      </c>
      <c r="DN31" s="129" t="s">
        <v>129</v>
      </c>
      <c r="DO31" s="130" t="str">
        <f>IF(DO30=0," ",IF(DO30&lt;21.7,TRUNC(25.4347*(18-DO30*DO$65)^1.81)," "))</f>
        <v> </v>
      </c>
      <c r="DP31" s="131" t="str">
        <f>IF(DP30&gt;155,TRUNC(0.14354*(DP30*DP$65-220)^1.4)," ")</f>
        <v> </v>
      </c>
      <c r="DQ31" s="131" t="str">
        <f>IF(DQ30&gt;1.2,TRUNC(51.39*(DQ30*DQ$65-1.5)^1.05)," ")</f>
        <v> </v>
      </c>
      <c r="DR31" s="131" t="str">
        <f>IF(DR30&gt;55,TRUNC(0.84565*(DR30*DR$65-75)^1.42)," ")</f>
        <v> </v>
      </c>
      <c r="DS31" s="131" t="str">
        <f>IF(DS30=0," ",IF(DS30&lt;99.46,TRUNC(1.53775*(82-DS30*DS$65)^1.81)," "))</f>
        <v> </v>
      </c>
      <c r="DT31" s="131" t="str">
        <f>IF(DT30=0," ",IF(DT30&lt;31,TRUNC(5.74352*(28.5-DT30*DT$65)^1.92)," "))</f>
        <v> </v>
      </c>
      <c r="DU31" s="131" t="str">
        <f>IF(DU30&gt;3.7,TRUNC(12.91*(DU30*DU$65-4)^1.1)," ")</f>
        <v> </v>
      </c>
      <c r="DV31" s="131" t="str">
        <f>IF(DV30&gt;69,TRUNC(0.2797*(DV30*DV$65-100)^1.35)," ")</f>
        <v> </v>
      </c>
      <c r="DW31" s="131" t="str">
        <f>IF(DW30&gt;4.8,TRUNC(10.14*(DW30*DW$65-7)^1.08)," ")</f>
        <v> </v>
      </c>
      <c r="DX31" s="178" t="str">
        <f>IF(DX30=0," ",IF(DX30&lt;604.36,TRUNC(0.03768*(480-DX30*DX$65)^1.85)," "))</f>
        <v> </v>
      </c>
      <c r="DZ31" s="142">
        <f>SUM(DO31:DX31)</f>
        <v>0</v>
      </c>
      <c r="EA31" s="129" t="s">
        <v>129</v>
      </c>
      <c r="EB31" s="130" t="str">
        <f>IF(EB30=0," ",IF(EB30&lt;21.7,TRUNC(25.4347*(18-EB30*EB$65)^1.81)," "))</f>
        <v> </v>
      </c>
      <c r="EC31" s="131" t="str">
        <f>IF(EC30&gt;155,TRUNC(0.14354*(EC30*EC$65-220)^1.4)," ")</f>
        <v> </v>
      </c>
      <c r="ED31" s="131" t="str">
        <f>IF(ED30&gt;1.2,TRUNC(51.39*(ED30*ED$65-1.5)^1.05)," ")</f>
        <v> </v>
      </c>
      <c r="EE31" s="131" t="str">
        <f>IF(EE30&gt;55,TRUNC(0.84565*(EE30*EE$65-75)^1.42)," ")</f>
        <v> </v>
      </c>
      <c r="EF31" s="131" t="str">
        <f>IF(EF30=0," ",IF(EF30&lt;99.46,TRUNC(1.53775*(82-EF30*EF$65)^1.81)," "))</f>
        <v> </v>
      </c>
      <c r="EG31" s="131" t="str">
        <f>IF(EG30=0," ",IF(EG30&lt;31,TRUNC(5.74352*(28.5-EG30*EG$65)^1.92)," "))</f>
        <v> </v>
      </c>
      <c r="EH31" s="131" t="str">
        <f>IF(EH30&gt;3.7,TRUNC(12.91*(EH30*EH$65-4)^1.1)," ")</f>
        <v> </v>
      </c>
      <c r="EI31" s="131" t="str">
        <f>IF(EI30&gt;69,TRUNC(0.2797*(EI30*EI$65-100)^1.35)," ")</f>
        <v> </v>
      </c>
      <c r="EJ31" s="131" t="str">
        <f>IF(EJ30&gt;4.8,TRUNC(10.14*(EJ30*EJ$65-7)^1.08)," ")</f>
        <v> </v>
      </c>
      <c r="EK31" s="178" t="str">
        <f>IF(EK30=0," ",IF(EK30&lt;604.36,TRUNC(0.03768*(480-EK30*EK$65)^1.85)," "))</f>
        <v> </v>
      </c>
      <c r="EM31" s="142">
        <f>SUM(EB31:EK31)</f>
        <v>0</v>
      </c>
      <c r="EN31" s="129" t="s">
        <v>129</v>
      </c>
      <c r="EO31" s="130" t="str">
        <f>IF(EO30=0," ",IF(EO30&lt;21.7,TRUNC(25.4347*(18-EO30*EO$65)^1.81)," "))</f>
        <v> </v>
      </c>
      <c r="EP31" s="131" t="str">
        <f>IF(EP30&gt;155,TRUNC(0.14354*(EP30*EP$65-220)^1.4)," ")</f>
        <v> </v>
      </c>
      <c r="EQ31" s="131" t="str">
        <f>IF(EQ30&gt;1.2,TRUNC(51.39*(EQ30*EQ$65-1.5)^1.05)," ")</f>
        <v> </v>
      </c>
      <c r="ER31" s="131" t="str">
        <f>IF(ER30&gt;55,TRUNC(0.84565*(ER30*ER$65-75)^1.42)," ")</f>
        <v> </v>
      </c>
      <c r="ES31" s="131" t="str">
        <f>IF(ES30=0," ",IF(ES30&lt;99.46,TRUNC(1.53775*(82-ES30*ES$65)^1.81)," "))</f>
        <v> </v>
      </c>
      <c r="ET31" s="131" t="str">
        <f>IF(ET30=0," ",IF(ET30&lt;31,TRUNC(5.74352*(28.5-ET30*ET$65)^1.92)," "))</f>
        <v> </v>
      </c>
      <c r="EU31" s="131" t="str">
        <f>IF(EU30&gt;3.7,TRUNC(12.91*(EU30*EU$65-4)^1.1)," ")</f>
        <v> </v>
      </c>
      <c r="EV31" s="131" t="str">
        <f>IF(EV30&gt;69,TRUNC(0.2797*(EV30*EV$65-100)^1.35)," ")</f>
        <v> </v>
      </c>
      <c r="EW31" s="131" t="str">
        <f>IF(EW30&gt;4.8,TRUNC(10.14*(EW30*EW$65-7)^1.08)," ")</f>
        <v> </v>
      </c>
      <c r="EX31" s="178" t="str">
        <f>IF(EX30=0," ",IF(EX30&lt;604.36,TRUNC(0.03768*(480-EX30*EX$65)^1.85)," "))</f>
        <v> </v>
      </c>
      <c r="EZ31" s="142">
        <f>SUM(EO31:EX31)</f>
        <v>0</v>
      </c>
      <c r="FA31" s="129" t="s">
        <v>129</v>
      </c>
      <c r="FB31" s="130" t="str">
        <f>IF(FB30=0," ",IF(FB30&lt;21.7,TRUNC(25.4347*(18-FB30*FB$65)^1.81)," "))</f>
        <v> </v>
      </c>
      <c r="FC31" s="131" t="str">
        <f>IF(FC30&gt;155,TRUNC(0.14354*(FC30*FC$65-220)^1.4)," ")</f>
        <v> </v>
      </c>
      <c r="FD31" s="131" t="str">
        <f>IF(FD30&gt;1.2,TRUNC(51.39*(FD30*FD$65-1.5)^1.05)," ")</f>
        <v> </v>
      </c>
      <c r="FE31" s="131" t="str">
        <f>IF(FE30&gt;55,TRUNC(0.84565*(FE30*FE$65-75)^1.42)," ")</f>
        <v> </v>
      </c>
      <c r="FF31" s="131" t="str">
        <f>IF(FF30=0," ",IF(FF30&lt;99.46,TRUNC(1.53775*(82-FF30*FF$65)^1.81)," "))</f>
        <v> </v>
      </c>
      <c r="FG31" s="131" t="str">
        <f>IF(FG30=0," ",IF(FG30&lt;31,TRUNC(5.74352*(28.5-FG30*FG$65)^1.92)," "))</f>
        <v> </v>
      </c>
      <c r="FH31" s="131" t="str">
        <f>IF(FH30&gt;3.7,TRUNC(12.91*(FH30*FH$65-4)^1.1)," ")</f>
        <v> </v>
      </c>
      <c r="FI31" s="131" t="str">
        <f>IF(FI30&gt;69,TRUNC(0.2797*(FI30*FI$65-100)^1.35)," ")</f>
        <v> </v>
      </c>
      <c r="FJ31" s="131" t="str">
        <f>IF(FJ30&gt;4.8,TRUNC(10.14*(FJ30*FJ$65-7)^1.08)," ")</f>
        <v> </v>
      </c>
      <c r="FK31" s="178" t="str">
        <f>IF(FK30=0," ",IF(FK30&lt;604.36,TRUNC(0.03768*(480-FK30*FK$65)^1.85)," "))</f>
        <v> </v>
      </c>
      <c r="FM31" s="142">
        <f>SUM(FB31:FK31)</f>
        <v>0</v>
      </c>
      <c r="FN31" s="129" t="s">
        <v>129</v>
      </c>
      <c r="FO31" s="130" t="str">
        <f>IF(FO30=0," ",IF(FO30&lt;21.7,TRUNC(25.4347*(18-FO30*FO$65)^1.81)," "))</f>
        <v> </v>
      </c>
      <c r="FP31" s="131" t="str">
        <f>IF(FP30&gt;155,TRUNC(0.14354*(FP30*FP$65-220)^1.4)," ")</f>
        <v> </v>
      </c>
      <c r="FQ31" s="131" t="str">
        <f>IF(FQ30&gt;1.2,TRUNC(51.39*(FQ30*FQ$65-1.5)^1.05)," ")</f>
        <v> </v>
      </c>
      <c r="FR31" s="131" t="str">
        <f>IF(FR30&gt;55,TRUNC(0.84565*(FR30*FR$65-75)^1.42)," ")</f>
        <v> </v>
      </c>
      <c r="FS31" s="131" t="str">
        <f>IF(FS30=0," ",IF(FS30&lt;99.46,TRUNC(1.53775*(82-FS30*FS$65)^1.81)," "))</f>
        <v> </v>
      </c>
      <c r="FT31" s="131" t="str">
        <f>IF(FT30=0," ",IF(FT30&lt;31,TRUNC(5.74352*(28.5-FT30*FT$65)^1.92)," "))</f>
        <v> </v>
      </c>
      <c r="FU31" s="131" t="str">
        <f>IF(FU30&gt;3.7,TRUNC(12.91*(FU30*FU$65-4)^1.1)," ")</f>
        <v> </v>
      </c>
      <c r="FV31" s="131" t="str">
        <f>IF(FV30&gt;69,TRUNC(0.2797*(FV30*FV$65-100)^1.35)," ")</f>
        <v> </v>
      </c>
      <c r="FW31" s="131" t="str">
        <f>IF(FW30&gt;4.8,TRUNC(10.14*(FW30*FW$65-7)^1.08)," ")</f>
        <v> </v>
      </c>
      <c r="FX31" s="178" t="str">
        <f>IF(FX30=0," ",IF(FX30&lt;604.36,TRUNC(0.03768*(480-FX30*FX$65)^1.85)," "))</f>
        <v> </v>
      </c>
      <c r="FZ31" s="142">
        <f>SUM(FO31:FX31)</f>
        <v>0</v>
      </c>
      <c r="GA31" s="129" t="s">
        <v>129</v>
      </c>
      <c r="GB31" s="130" t="str">
        <f>IF(GB30=0," ",IF(GB30&lt;21.7,TRUNC(25.4347*(18-GB30*GB$65)^1.81)," "))</f>
        <v> </v>
      </c>
      <c r="GC31" s="131" t="str">
        <f>IF(GC30&gt;155,TRUNC(0.14354*(GC30*GC$65-220)^1.4)," ")</f>
        <v> </v>
      </c>
      <c r="GD31" s="131" t="str">
        <f>IF(GD30&gt;1.2,TRUNC(51.39*(GD30*GD$65-1.5)^1.05)," ")</f>
        <v> </v>
      </c>
      <c r="GE31" s="131" t="str">
        <f>IF(GE30&gt;55,TRUNC(0.84565*(GE30*GE$65-75)^1.42)," ")</f>
        <v> </v>
      </c>
      <c r="GF31" s="131" t="str">
        <f>IF(GF30=0," ",IF(GF30&lt;99.46,TRUNC(1.53775*(82-GF30*GF$65)^1.81)," "))</f>
        <v> </v>
      </c>
      <c r="GG31" s="131" t="str">
        <f>IF(GG30=0," ",IF(GG30&lt;31,TRUNC(5.74352*(28.5-GG30*GG$65)^1.92)," "))</f>
        <v> </v>
      </c>
      <c r="GH31" s="131" t="str">
        <f>IF(GH30&gt;3.7,TRUNC(12.91*(GH30*GH$65-4)^1.1)," ")</f>
        <v> </v>
      </c>
      <c r="GI31" s="131" t="str">
        <f>IF(GI30&gt;69,TRUNC(0.2797*(GI30*GI$65-100)^1.35)," ")</f>
        <v> </v>
      </c>
      <c r="GJ31" s="131" t="str">
        <f>IF(GJ30&gt;4.8,TRUNC(10.14*(GJ30*GJ$65-7)^1.08)," ")</f>
        <v> </v>
      </c>
      <c r="GK31" s="178" t="str">
        <f>IF(GK30=0," ",IF(GK30&lt;604.36,TRUNC(0.03768*(480-GK30*GK$65)^1.85)," "))</f>
        <v> </v>
      </c>
      <c r="GM31" s="142">
        <f>SUM(GB31:GK31)</f>
        <v>0</v>
      </c>
      <c r="GN31" s="129" t="s">
        <v>129</v>
      </c>
      <c r="GO31" s="130" t="str">
        <f>IF(GO30=0," ",IF(GO30&lt;21.7,TRUNC(25.4347*(18-GO30*GO$65)^1.81)," "))</f>
        <v> </v>
      </c>
      <c r="GP31" s="131" t="str">
        <f>IF(GP30&gt;155,TRUNC(0.14354*(GP30*GP$65-220)^1.4)," ")</f>
        <v> </v>
      </c>
      <c r="GQ31" s="131" t="str">
        <f>IF(GQ30&gt;1.2,TRUNC(51.39*(GQ30*GQ$65-1.5)^1.05)," ")</f>
        <v> </v>
      </c>
      <c r="GR31" s="131" t="str">
        <f>IF(GR30&gt;55,TRUNC(0.84565*(GR30*GR$65-75)^1.42)," ")</f>
        <v> </v>
      </c>
      <c r="GS31" s="131" t="str">
        <f>IF(GS30=0," ",IF(GS30&lt;99.46,TRUNC(1.53775*(82-GS30*GS$65)^1.81)," "))</f>
        <v> </v>
      </c>
      <c r="GT31" s="131" t="str">
        <f>IF(GT30=0," ",IF(GT30&lt;31,TRUNC(5.74352*(28.5-GT30*GT$65)^1.92)," "))</f>
        <v> </v>
      </c>
      <c r="GU31" s="131" t="str">
        <f>IF(GU30&gt;3.7,TRUNC(12.91*(GU30*GU$65-4)^1.1)," ")</f>
        <v> </v>
      </c>
      <c r="GV31" s="131" t="str">
        <f>IF(GV30&gt;69,TRUNC(0.2797*(GV30*GV$65-100)^1.35)," ")</f>
        <v> </v>
      </c>
      <c r="GW31" s="131" t="str">
        <f>IF(GW30&gt;4.8,TRUNC(10.14*(GW30*GW$65-7)^1.08)," ")</f>
        <v> </v>
      </c>
      <c r="GX31" s="178" t="str">
        <f>IF(GX30=0," ",IF(GX30&lt;604.36,TRUNC(0.03768*(480-GX30*GX$65)^1.85)," "))</f>
        <v> </v>
      </c>
      <c r="GZ31" s="142">
        <f>SUM(GO31:GX31)</f>
        <v>0</v>
      </c>
      <c r="HA31" s="129" t="s">
        <v>129</v>
      </c>
      <c r="HB31" s="130" t="str">
        <f>IF(HB30=0," ",IF(HB30&lt;21.7,TRUNC(25.4347*(18-HB30*HB$65)^1.81)," "))</f>
        <v> </v>
      </c>
      <c r="HC31" s="131" t="str">
        <f>IF(HC30&gt;155,TRUNC(0.14354*(HC30*HC$65-220)^1.4)," ")</f>
        <v> </v>
      </c>
      <c r="HD31" s="131" t="str">
        <f>IF(HD30&gt;1.2,TRUNC(51.39*(HD30*HD$65-1.5)^1.05)," ")</f>
        <v> </v>
      </c>
      <c r="HE31" s="131" t="str">
        <f>IF(HE30&gt;55,TRUNC(0.84565*(HE30*HE$65-75)^1.42)," ")</f>
        <v> </v>
      </c>
      <c r="HF31" s="131" t="str">
        <f>IF(HF30=0," ",IF(HF30&lt;99.46,TRUNC(1.53775*(82-HF30*HF$65)^1.81)," "))</f>
        <v> </v>
      </c>
      <c r="HG31" s="131" t="str">
        <f>IF(HG30=0," ",IF(HG30&lt;31,TRUNC(5.74352*(28.5-HG30*HG$65)^1.92)," "))</f>
        <v> </v>
      </c>
      <c r="HH31" s="131" t="str">
        <f>IF(HH30&gt;3.7,TRUNC(12.91*(HH30*HH$65-4)^1.1)," ")</f>
        <v> </v>
      </c>
      <c r="HI31" s="131" t="str">
        <f>IF(HI30&gt;69,TRUNC(0.2797*(HI30*HI$65-100)^1.35)," ")</f>
        <v> </v>
      </c>
      <c r="HJ31" s="131" t="str">
        <f>IF(HJ30&gt;4.8,TRUNC(10.14*(HJ30*HJ$65-7)^1.08)," ")</f>
        <v> </v>
      </c>
      <c r="HK31" s="178" t="str">
        <f>IF(HK30=0," ",IF(HK30&lt;604.36,TRUNC(0.03768*(480-HK30*HK$65)^1.85)," "))</f>
        <v> </v>
      </c>
      <c r="HM31" s="142">
        <f>SUM(HB31:HK31)</f>
        <v>0</v>
      </c>
      <c r="HN31" s="129" t="s">
        <v>129</v>
      </c>
      <c r="HO31" s="130" t="str">
        <f>IF(HO30=0," ",IF(HO30&lt;21.7,TRUNC(25.4347*(18-HO30*HO$65)^1.81)," "))</f>
        <v> </v>
      </c>
      <c r="HP31" s="131" t="str">
        <f>IF(HP30&gt;155,TRUNC(0.14354*(HP30*HP$65-220)^1.4)," ")</f>
        <v> </v>
      </c>
      <c r="HQ31" s="131" t="str">
        <f>IF(HQ30&gt;1.2,TRUNC(51.39*(HQ30*HQ$65-1.5)^1.05)," ")</f>
        <v> </v>
      </c>
      <c r="HR31" s="131" t="str">
        <f>IF(HR30&gt;55,TRUNC(0.84565*(HR30*HR$65-75)^1.42)," ")</f>
        <v> </v>
      </c>
      <c r="HS31" s="131" t="str">
        <f>IF(HS30=0," ",IF(HS30&lt;99.46,TRUNC(1.53775*(82-HS30*HS$65)^1.81)," "))</f>
        <v> </v>
      </c>
      <c r="HT31" s="131" t="str">
        <f>IF(HT30=0," ",IF(HT30&lt;31,TRUNC(5.74352*(28.5-HT30*HT$65)^1.92)," "))</f>
        <v> </v>
      </c>
      <c r="HU31" s="131" t="str">
        <f>IF(HU30&gt;3.7,TRUNC(12.91*(HU30*HU$65-4)^1.1)," ")</f>
        <v> </v>
      </c>
      <c r="HV31" s="131" t="str">
        <f>IF(HV30&gt;69,TRUNC(0.2797*(HV30*HV$65-100)^1.35)," ")</f>
        <v> </v>
      </c>
      <c r="HW31" s="131" t="str">
        <f>IF(HW30&gt;4.8,TRUNC(10.14*(HW30*HW$65-7)^1.08)," ")</f>
        <v> </v>
      </c>
      <c r="HX31" s="178" t="str">
        <f>IF(HX30=0," ",IF(HX30&lt;604.36,TRUNC(0.03768*(480-HX30*HX$65)^1.85)," "))</f>
        <v> </v>
      </c>
      <c r="HZ31" s="142">
        <f>SUM(HO31:HX31)</f>
        <v>0</v>
      </c>
      <c r="IA31" s="129" t="s">
        <v>129</v>
      </c>
      <c r="IB31" s="130" t="str">
        <f>IF(IB30=0," ",IF(IB30&lt;21.7,TRUNC(25.4347*(18-IB30*IB$65)^1.81)," "))</f>
        <v> </v>
      </c>
      <c r="IC31" s="131" t="str">
        <f>IF(IC30&gt;155,TRUNC(0.14354*(IC30*IC$65-220)^1.4)," ")</f>
        <v> </v>
      </c>
      <c r="ID31" s="131" t="str">
        <f>IF(ID30&gt;1.2,TRUNC(51.39*(ID30*ID$65-1.5)^1.05)," ")</f>
        <v> </v>
      </c>
      <c r="IE31" s="131" t="str">
        <f>IF(IE30&gt;55,TRUNC(0.84565*(IE30*IE$65-75)^1.42)," ")</f>
        <v> </v>
      </c>
      <c r="IF31" s="131" t="str">
        <f>IF(IF30=0," ",IF(IF30&lt;99.46,TRUNC(1.53775*(82-IF30*IF$65)^1.81)," "))</f>
        <v> </v>
      </c>
      <c r="IG31" s="131" t="str">
        <f>IF(IG30=0," ",IF(IG30&lt;31,TRUNC(5.74352*(28.5-IG30*IG$65)^1.92)," "))</f>
        <v> </v>
      </c>
      <c r="IH31" s="131" t="str">
        <f>IF(IH30&gt;3.7,TRUNC(12.91*(IH30*IH$65-4)^1.1)," ")</f>
        <v> </v>
      </c>
      <c r="II31" s="131" t="str">
        <f>IF(II30&gt;69,TRUNC(0.2797*(II30*II$65-100)^1.35)," ")</f>
        <v> </v>
      </c>
      <c r="IJ31" s="131" t="str">
        <f>IF(IJ30&gt;4.8,TRUNC(10.14*(IJ30*IJ$65-7)^1.08)," ")</f>
        <v> </v>
      </c>
      <c r="IK31" s="178" t="str">
        <f>IF(IK30=0," ",IF(IK30&lt;604.36,TRUNC(0.03768*(480-IK30*IK$65)^1.85)," "))</f>
        <v> </v>
      </c>
      <c r="IM31" s="142">
        <f>SUM(IB31:IK31)</f>
        <v>0</v>
      </c>
      <c r="IN31" s="129" t="s">
        <v>129</v>
      </c>
      <c r="IO31" s="130" t="str">
        <f>IF(IO30=0," ",IF(IO30&lt;21.7,TRUNC(25.4347*(18-IO30*IO$65)^1.81)," "))</f>
        <v> </v>
      </c>
      <c r="IP31" s="131" t="str">
        <f>IF(IP30&gt;155,TRUNC(0.14354*(IP30*IP$65-220)^1.4)," ")</f>
        <v> </v>
      </c>
      <c r="IQ31" s="131" t="str">
        <f>IF(IQ30&gt;1.2,TRUNC(51.39*(IQ30*IQ$65-1.5)^1.05)," ")</f>
        <v> </v>
      </c>
      <c r="IR31" s="131" t="str">
        <f>IF(IR30&gt;55,TRUNC(0.84565*(IR30*IR$65-75)^1.42)," ")</f>
        <v> </v>
      </c>
      <c r="IS31" s="131" t="str">
        <f>IF(IS30=0," ",IF(IS30&lt;99.46,TRUNC(1.53775*(82-IS30*IS$65)^1.81)," "))</f>
        <v> </v>
      </c>
      <c r="IT31" s="131" t="str">
        <f>IF(IT30=0," ",IF(IT30&lt;31,TRUNC(5.74352*(28.5-IT30*IT$65)^1.92)," "))</f>
        <v> </v>
      </c>
      <c r="IU31" s="131" t="str">
        <f>IF(IU30&gt;3.7,TRUNC(12.91*(IU30*IU$65-4)^1.1)," ")</f>
        <v> </v>
      </c>
      <c r="IV31" s="131" t="str">
        <f>IF(IV30&gt;69,TRUNC(0.2797*(IV30*IV$65-100)^1.35)," ")</f>
        <v> </v>
      </c>
    </row>
    <row r="32" spans="1:18" s="105" customFormat="1" ht="73.5" customHeight="1">
      <c r="A32" s="105" t="s">
        <v>30</v>
      </c>
      <c r="B32" s="259">
        <v>19.98</v>
      </c>
      <c r="C32" s="260">
        <v>253</v>
      </c>
      <c r="D32" s="261">
        <v>6.85</v>
      </c>
      <c r="E32" s="260">
        <v>110</v>
      </c>
      <c r="F32" s="261">
        <v>130.1</v>
      </c>
      <c r="G32" s="262"/>
      <c r="H32" s="261">
        <v>16.92</v>
      </c>
      <c r="I32" s="260">
        <v>160</v>
      </c>
      <c r="J32" s="261">
        <v>18.2</v>
      </c>
      <c r="K32" s="261"/>
      <c r="L32" s="127"/>
      <c r="M32" s="141"/>
      <c r="N32" s="128" t="s">
        <v>33</v>
      </c>
      <c r="O32" s="112"/>
      <c r="P32" s="113">
        <f>100*P33/M33</f>
        <v>3.870625662778367</v>
      </c>
      <c r="Q32" s="114">
        <f>100*Q33/M33</f>
        <v>43.74337221633086</v>
      </c>
      <c r="R32" s="115">
        <f>100*R33/M33</f>
        <v>52.38600212089077</v>
      </c>
    </row>
    <row r="33" spans="1:18" s="126" customFormat="1" ht="73.5" customHeight="1">
      <c r="A33" s="129" t="s">
        <v>108</v>
      </c>
      <c r="B33" s="173">
        <f>IF(B32=0," ",IF(B32&lt;30,TRUNC(25.4347*(18-B32*B$66)^1.81)," "))</f>
        <v>73</v>
      </c>
      <c r="C33" s="174">
        <f>IF(C32&gt;100,TRUNC(0.14354*(C32*C$66-220)^1.4)," ")</f>
        <v>181</v>
      </c>
      <c r="D33" s="174">
        <f>IF(D32&gt;1,TRUNC(51.39*(D32*D$66-1.5)^1.05)," ")</f>
        <v>445</v>
      </c>
      <c r="E33" s="174">
        <f>IF(E32&gt;50,TRUNC(0.84565*(E32*E$66-75)^1.42)," ")</f>
        <v>407</v>
      </c>
      <c r="F33" s="174" t="str">
        <f>IF(F32=0," ",IF(F32&lt;120,TRUNC(1.53775*(82-F32*F$66)^1.81)," "))</f>
        <v> </v>
      </c>
      <c r="G33" s="175" t="str">
        <f>IF(G32=0," ",IF(G32&lt;35,TRUNC(5.74352*(28.5-G32*G$66)^1.92)," "))</f>
        <v> </v>
      </c>
      <c r="H33" s="174">
        <f>IF(H32&gt;2,TRUNC(12.91*(H32*H$66-4)^1.1)," ")</f>
        <v>266</v>
      </c>
      <c r="I33" s="174">
        <f>IF(I32&gt;50,TRUNC(0.2797*(I32*I$66-100)^1.35)," ")</f>
        <v>237</v>
      </c>
      <c r="J33" s="174">
        <f>IF(J32&gt;3,TRUNC(10.14*(J32*J$66-7)^1.08)," ")</f>
        <v>277</v>
      </c>
      <c r="K33" s="174" t="str">
        <f>IF(K32=0," ",IF(K32&lt;800.36,TRUNC(0.03768*(480-K32*K$66)^1.85)," "))</f>
        <v> </v>
      </c>
      <c r="L33" s="258"/>
      <c r="M33" s="142">
        <f>SUM(B33:K33)</f>
        <v>1886</v>
      </c>
      <c r="N33" s="121"/>
      <c r="O33" s="132">
        <f>MAX(B33:K33)</f>
        <v>445</v>
      </c>
      <c r="P33" s="133">
        <f>SUM(B33,F33,G33,K33)</f>
        <v>73</v>
      </c>
      <c r="Q33" s="134">
        <f>SUM(C33,E33,I33)</f>
        <v>825</v>
      </c>
      <c r="R33" s="135">
        <f>SUM(D33,H33,J33)</f>
        <v>988</v>
      </c>
    </row>
    <row r="34" spans="1:18" s="105" customFormat="1" ht="73.5" customHeight="1">
      <c r="A34" s="105" t="s">
        <v>65</v>
      </c>
      <c r="B34" s="259"/>
      <c r="C34" s="260"/>
      <c r="D34" s="261">
        <v>8.43</v>
      </c>
      <c r="E34" s="260"/>
      <c r="F34" s="261"/>
      <c r="G34" s="262"/>
      <c r="H34" s="261">
        <v>18.88</v>
      </c>
      <c r="I34" s="260"/>
      <c r="J34" s="261">
        <v>15.89</v>
      </c>
      <c r="K34" s="261"/>
      <c r="L34" s="127">
        <v>89</v>
      </c>
      <c r="M34" s="141"/>
      <c r="N34" s="128" t="s">
        <v>29</v>
      </c>
      <c r="O34" s="112"/>
      <c r="P34" s="113">
        <f>100*P35/M35</f>
        <v>0</v>
      </c>
      <c r="Q34" s="114">
        <f>100*Q35/M35</f>
        <v>0</v>
      </c>
      <c r="R34" s="115">
        <f>100*R35/M35</f>
        <v>100</v>
      </c>
    </row>
    <row r="35" spans="1:18" s="126" customFormat="1" ht="73.5" customHeight="1">
      <c r="A35" s="129" t="s">
        <v>108</v>
      </c>
      <c r="B35" s="173" t="str">
        <f>IF(B34=0," ",IF(B34&lt;30,TRUNC(25.4347*(18-B34*B$66)^1.81)," "))</f>
        <v> </v>
      </c>
      <c r="C35" s="174" t="str">
        <f>IF(C34&gt;100,TRUNC(0.14354*(C34*C$66-220)^1.4)," ")</f>
        <v> </v>
      </c>
      <c r="D35" s="174">
        <f>IF(D34&gt;1,TRUNC(51.39*(D34*D$66-1.5)^1.05)," ")</f>
        <v>574</v>
      </c>
      <c r="E35" s="174" t="str">
        <f>IF(E34&gt;50,TRUNC(0.84565*(E34*E$66-75)^1.42)," ")</f>
        <v> </v>
      </c>
      <c r="F35" s="174" t="str">
        <f>IF(F34=0," ",IF(F34&lt;120,TRUNC(1.53775*(82-F34*F$66)^1.81)," "))</f>
        <v> </v>
      </c>
      <c r="G35" s="175" t="str">
        <f>IF(G34=0," ",IF(G34&lt;35,TRUNC(5.74352*(28.5-G34*G$66)^1.92)," "))</f>
        <v> </v>
      </c>
      <c r="H35" s="174">
        <f>IF(H34&gt;2,TRUNC(12.91*(H34*H$66-4)^1.1)," ")</f>
        <v>309</v>
      </c>
      <c r="I35" s="174" t="str">
        <f>IF(I34&gt;50,TRUNC(0.2797*(I34*I$66-100)^1.35)," ")</f>
        <v> </v>
      </c>
      <c r="J35" s="174">
        <f>IF(J34&gt;3,TRUNC(10.14*(J34*J$66-7)^1.08)," ")</f>
        <v>227</v>
      </c>
      <c r="K35" s="174" t="str">
        <f>IF(K34=0," ",IF(K34&lt;800.36,TRUNC(0.03768*(480-K34*K$66)^1.85)," "))</f>
        <v> </v>
      </c>
      <c r="L35" s="258"/>
      <c r="M35" s="142">
        <f>SUM(B35:K35)</f>
        <v>1110</v>
      </c>
      <c r="N35" s="121"/>
      <c r="O35" s="132">
        <f>MAX(B35:K35)</f>
        <v>574</v>
      </c>
      <c r="P35" s="133">
        <f>SUM(B35,F35,G35,K35)</f>
        <v>0</v>
      </c>
      <c r="Q35" s="134">
        <f>SUM(C35,E35,I35)</f>
        <v>0</v>
      </c>
      <c r="R35" s="135">
        <f>SUM(D35,H35,J35)</f>
        <v>1110</v>
      </c>
    </row>
    <row r="36" spans="1:18" s="105" customFormat="1" ht="73.5" customHeight="1">
      <c r="A36" s="105" t="s">
        <v>90</v>
      </c>
      <c r="B36" s="259"/>
      <c r="C36" s="260"/>
      <c r="D36" s="261">
        <v>6.61</v>
      </c>
      <c r="E36" s="260"/>
      <c r="F36" s="261"/>
      <c r="G36" s="262"/>
      <c r="H36" s="261">
        <v>18.55</v>
      </c>
      <c r="I36" s="260"/>
      <c r="J36" s="261">
        <v>15.48</v>
      </c>
      <c r="K36" s="261"/>
      <c r="L36" s="127"/>
      <c r="M36" s="141"/>
      <c r="N36" s="128" t="s">
        <v>28</v>
      </c>
      <c r="O36" s="112"/>
      <c r="P36" s="113">
        <f>100*P37/M37</f>
        <v>0</v>
      </c>
      <c r="Q36" s="114">
        <f>100*Q37/M37</f>
        <v>0</v>
      </c>
      <c r="R36" s="115">
        <f>100*R37/M37</f>
        <v>100</v>
      </c>
    </row>
    <row r="37" spans="1:18" s="126" customFormat="1" ht="73.5" customHeight="1">
      <c r="A37" s="129" t="s">
        <v>108</v>
      </c>
      <c r="B37" s="173" t="str">
        <f>IF(B36=0," ",IF(B36&lt;30,TRUNC(25.4347*(18-B36*B$66)^1.81)," "))</f>
        <v> </v>
      </c>
      <c r="C37" s="174" t="str">
        <f>IF(C36&gt;100,TRUNC(0.14354*(C36*C$66-220)^1.4)," ")</f>
        <v> </v>
      </c>
      <c r="D37" s="174">
        <f>IF(D36&gt;1,TRUNC(51.39*(D36*D$66-1.5)^1.05)," ")</f>
        <v>425</v>
      </c>
      <c r="E37" s="174" t="str">
        <f>IF(E36&gt;50,TRUNC(0.84565*(E36*E$66-75)^1.42)," ")</f>
        <v> </v>
      </c>
      <c r="F37" s="174" t="str">
        <f>IF(F36=0," ",IF(F36&lt;120,TRUNC(1.53775*(82-F36*F$66)^1.81)," "))</f>
        <v> </v>
      </c>
      <c r="G37" s="175" t="str">
        <f>IF(G36=0," ",IF(G36&lt;35,TRUNC(5.74352*(28.5-G36*G$66)^1.92)," "))</f>
        <v> </v>
      </c>
      <c r="H37" s="174">
        <f>IF(H36&gt;2,TRUNC(12.91*(H36*H$66-4)^1.1)," ")</f>
        <v>302</v>
      </c>
      <c r="I37" s="174" t="str">
        <f>IF(I36&gt;50,TRUNC(0.2797*(I36*I$66-100)^1.35)," ")</f>
        <v> </v>
      </c>
      <c r="J37" s="174">
        <f>IF(J36&gt;3,TRUNC(10.14*(J36*J$66-7)^1.08)," ")</f>
        <v>218</v>
      </c>
      <c r="K37" s="174" t="str">
        <f>IF(K36=0," ",IF(K36&lt;800.36,TRUNC(0.03768*(480-K36*K$66)^1.85)," "))</f>
        <v> </v>
      </c>
      <c r="L37" s="258"/>
      <c r="M37" s="142">
        <f>SUM(B37:K37)</f>
        <v>945</v>
      </c>
      <c r="N37" s="121"/>
      <c r="O37" s="132">
        <f>MAX(B37:K37)</f>
        <v>425</v>
      </c>
      <c r="P37" s="133">
        <f>SUM(B37,F37,G37,K37)</f>
        <v>0</v>
      </c>
      <c r="Q37" s="134">
        <f>SUM(C37,E37,I37)</f>
        <v>0</v>
      </c>
      <c r="R37" s="135">
        <f>SUM(D37,H37,J37)</f>
        <v>945</v>
      </c>
    </row>
    <row r="38" spans="1:18" s="105" customFormat="1" ht="73.5" customHeight="1">
      <c r="A38" s="105" t="s">
        <v>91</v>
      </c>
      <c r="B38" s="259"/>
      <c r="C38" s="260"/>
      <c r="D38" s="261">
        <v>6.58</v>
      </c>
      <c r="E38" s="260"/>
      <c r="F38" s="261"/>
      <c r="G38" s="262"/>
      <c r="H38" s="261">
        <v>15.17</v>
      </c>
      <c r="I38" s="260"/>
      <c r="J38" s="261">
        <v>15.42</v>
      </c>
      <c r="K38" s="261"/>
      <c r="L38" s="127"/>
      <c r="M38" s="141"/>
      <c r="N38" s="128" t="s">
        <v>141</v>
      </c>
      <c r="O38" s="112"/>
      <c r="P38" s="113">
        <f>100*P39/M39</f>
        <v>0</v>
      </c>
      <c r="Q38" s="114">
        <f>100*Q39/M39</f>
        <v>0</v>
      </c>
      <c r="R38" s="115">
        <f>100*R39/M39</f>
        <v>100</v>
      </c>
    </row>
    <row r="39" spans="1:18" s="138" customFormat="1" ht="73.5" customHeight="1">
      <c r="A39" s="129" t="s">
        <v>108</v>
      </c>
      <c r="B39" s="173" t="str">
        <f>IF(B38=0," ",IF(B38&lt;30,TRUNC(25.4347*(18-B38*B$66)^1.81)," "))</f>
        <v> </v>
      </c>
      <c r="C39" s="174" t="str">
        <f>IF(C38&gt;100,TRUNC(0.14354*(C38*C$66-220)^1.4)," ")</f>
        <v> </v>
      </c>
      <c r="D39" s="174">
        <f>IF(D38&gt;1,TRUNC(51.39*(D38*D$66-1.5)^1.05)," ")</f>
        <v>423</v>
      </c>
      <c r="E39" s="174" t="str">
        <f>IF(E38&gt;50,TRUNC(0.84565*(E38*E$66-75)^1.42)," ")</f>
        <v> </v>
      </c>
      <c r="F39" s="174" t="str">
        <f>IF(F38=0," ",IF(F38&lt;120,TRUNC(1.53775*(82-F38*F$66)^1.81)," "))</f>
        <v> </v>
      </c>
      <c r="G39" s="175" t="str">
        <f>IF(G38=0," ",IF(G38&lt;35,TRUNC(5.74352*(28.5-G38*G$66)^1.92)," "))</f>
        <v> </v>
      </c>
      <c r="H39" s="174">
        <f>IF(H38&gt;2,TRUNC(12.91*(H38*H$66-4)^1.1)," ")</f>
        <v>228</v>
      </c>
      <c r="I39" s="174" t="str">
        <f>IF(I38&gt;50,TRUNC(0.2797*(I38*I$66-100)^1.35)," ")</f>
        <v> </v>
      </c>
      <c r="J39" s="174">
        <f>IF(J38&gt;3,TRUNC(10.14*(J38*J$66-7)^1.08)," ")</f>
        <v>217</v>
      </c>
      <c r="K39" s="174" t="str">
        <f>IF(K38=0," ",IF(K38&lt;800.36,TRUNC(0.03768*(480-K38*K$66)^1.85)," "))</f>
        <v> </v>
      </c>
      <c r="L39" s="258"/>
      <c r="M39" s="142">
        <f>SUM(B39:K39)</f>
        <v>868</v>
      </c>
      <c r="N39" s="121"/>
      <c r="O39" s="132">
        <f>MAX(B39:K39)</f>
        <v>423</v>
      </c>
      <c r="P39" s="133">
        <f>SUM(B39,F39,G39,K39)</f>
        <v>0</v>
      </c>
      <c r="Q39" s="134">
        <f>SUM(C39,E39,I39)</f>
        <v>0</v>
      </c>
      <c r="R39" s="135">
        <f>SUM(D39,H39,J39)</f>
        <v>868</v>
      </c>
    </row>
    <row r="40" spans="1:18" s="157" customFormat="1" ht="73.5" customHeight="1">
      <c r="A40" s="105" t="s">
        <v>25</v>
      </c>
      <c r="B40" s="259"/>
      <c r="C40" s="260"/>
      <c r="D40" s="261"/>
      <c r="E40" s="260"/>
      <c r="F40" s="261"/>
      <c r="G40" s="262"/>
      <c r="H40" s="261"/>
      <c r="I40" s="260"/>
      <c r="J40" s="261">
        <v>16.68</v>
      </c>
      <c r="K40" s="261"/>
      <c r="L40" s="127"/>
      <c r="M40" s="141"/>
      <c r="N40" s="128" t="s">
        <v>142</v>
      </c>
      <c r="O40" s="156"/>
      <c r="P40" s="113">
        <f>100*P41/M41</f>
        <v>0</v>
      </c>
      <c r="Q40" s="114">
        <f>100*Q41/M41</f>
        <v>0</v>
      </c>
      <c r="R40" s="115">
        <f>100*R41/M41</f>
        <v>100</v>
      </c>
    </row>
    <row r="41" spans="1:18" s="126" customFormat="1" ht="73.5" customHeight="1">
      <c r="A41" s="129" t="s">
        <v>108</v>
      </c>
      <c r="B41" s="173" t="str">
        <f>IF(B40=0," ",IF(B40&lt;30,TRUNC(25.4347*(18-B40*B$66)^1.81)," "))</f>
        <v> </v>
      </c>
      <c r="C41" s="174" t="str">
        <f>IF(C40&gt;100,TRUNC(0.14354*(C40*C$66-220)^1.4)," ")</f>
        <v> </v>
      </c>
      <c r="D41" s="174" t="str">
        <f>IF(D40&gt;1,TRUNC(51.39*(D40*D$66-1.5)^1.05)," ")</f>
        <v> </v>
      </c>
      <c r="E41" s="174" t="str">
        <f>IF(E40&gt;50,TRUNC(0.84565*(E40*E$66-75)^1.42)," ")</f>
        <v> </v>
      </c>
      <c r="F41" s="174"/>
      <c r="G41" s="175" t="str">
        <f>IF(G40=0," ",IF(G40&lt;35,TRUNC(5.74352*(28.5-G40*G$66)^1.92)," "))</f>
        <v> </v>
      </c>
      <c r="H41" s="174" t="str">
        <f>IF(H40&gt;2,TRUNC(12.91*(H40*H$66-4)^1.1)," ")</f>
        <v> </v>
      </c>
      <c r="I41" s="174" t="str">
        <f>IF(I40&gt;50,TRUNC(0.2797*(I40*I$66-100)^1.35)," ")</f>
        <v> </v>
      </c>
      <c r="J41" s="174">
        <f>IF(J40&gt;3,TRUNC(10.14*(J40*J$66-7)^1.08)," ")</f>
        <v>244</v>
      </c>
      <c r="K41" s="174" t="str">
        <f>IF(K40=0," ",IF(K40&lt;800.36,TRUNC(0.03768*(480-K40*K$66)^1.85)," "))</f>
        <v> </v>
      </c>
      <c r="L41" s="258"/>
      <c r="M41" s="142">
        <f>SUM(B41:K41)</f>
        <v>244</v>
      </c>
      <c r="N41" s="121"/>
      <c r="O41" s="132">
        <f>MAX(B41:K41)</f>
        <v>244</v>
      </c>
      <c r="P41" s="133">
        <f>SUM(B41,F41,G41,K41)</f>
        <v>0</v>
      </c>
      <c r="Q41" s="134">
        <f>SUM(C41,E41,I41)</f>
        <v>0</v>
      </c>
      <c r="R41" s="135">
        <f>SUM(D41,H41,J41)</f>
        <v>244</v>
      </c>
    </row>
    <row r="42" spans="1:18" s="146" customFormat="1" ht="73.5" customHeight="1">
      <c r="A42" s="105" t="s">
        <v>61</v>
      </c>
      <c r="B42" s="106">
        <v>21.95</v>
      </c>
      <c r="C42" s="107">
        <v>149</v>
      </c>
      <c r="D42" s="108">
        <v>1.13</v>
      </c>
      <c r="E42" s="107">
        <v>55</v>
      </c>
      <c r="F42" s="108">
        <v>103.5</v>
      </c>
      <c r="G42" s="270">
        <v>32.4</v>
      </c>
      <c r="H42" s="108">
        <v>3.55</v>
      </c>
      <c r="I42" s="107">
        <v>67</v>
      </c>
      <c r="J42" s="108">
        <v>4.6</v>
      </c>
      <c r="K42" s="108">
        <v>627</v>
      </c>
      <c r="L42" s="140"/>
      <c r="M42" s="271"/>
      <c r="N42" s="149"/>
      <c r="O42" s="150"/>
      <c r="P42" s="113">
        <f>100*P43/M43</f>
        <v>40</v>
      </c>
      <c r="Q42" s="114">
        <f>100*Q43/M43</f>
        <v>30</v>
      </c>
      <c r="R42" s="115">
        <f>100*R43/M43</f>
        <v>30</v>
      </c>
    </row>
    <row r="43" spans="1:18" s="126" customFormat="1" ht="73.5" customHeight="1">
      <c r="A43" s="129" t="s">
        <v>108</v>
      </c>
      <c r="B43" s="173">
        <f>IF(B42=0," ",IF(B42&lt;30,TRUNC(25.4347*(18-B42*B$66)^1.81)," "))</f>
        <v>1</v>
      </c>
      <c r="C43" s="174">
        <f>IF(C42&gt;100,TRUNC(0.14354*(C42*C$66-220)^1.4)," ")</f>
        <v>1</v>
      </c>
      <c r="D43" s="174">
        <f>IF(D42&gt;1,TRUNC(51.39*(D42*D$66-1.5)^1.05)," ")</f>
        <v>1</v>
      </c>
      <c r="E43" s="174">
        <f>IF(E42&gt;50,TRUNC(0.84565*(E42*E$66-75)^1.42)," ")</f>
        <v>1</v>
      </c>
      <c r="F43" s="174">
        <f>IF(F42=0," ",IF(F42&lt;120,TRUNC(1.53775*(82-F42*F$66)^1.81)," "))</f>
        <v>1</v>
      </c>
      <c r="G43" s="175">
        <f>IF(G42=0," ",IF(G42&lt;35,TRUNC(5.74352*(28.5-G42*G$66)^1.92)," "))</f>
        <v>1</v>
      </c>
      <c r="H43" s="174">
        <f>IF(H42&gt;2,TRUNC(12.91*(H42*H$66-4)^1.1)," ")</f>
        <v>1</v>
      </c>
      <c r="I43" s="174">
        <f>IF(I42&gt;50,TRUNC(0.2797*(I42*I$66-100)^1.35)," ")</f>
        <v>1</v>
      </c>
      <c r="J43" s="174">
        <f>IF(J42&gt;3,TRUNC(10.14*(J42*J$66-7)^1.08)," ")</f>
        <v>1</v>
      </c>
      <c r="K43" s="174">
        <f>IF(K42=0," ",IF(K42&lt;800.36,TRUNC(0.03768*(480-K42*K$66)^1.85)," "))</f>
        <v>1</v>
      </c>
      <c r="L43" s="258"/>
      <c r="M43" s="142">
        <f>SUM(B43:K43)</f>
        <v>10</v>
      </c>
      <c r="N43" s="121"/>
      <c r="O43" s="132">
        <f>MAX(B43:K43)</f>
        <v>1</v>
      </c>
      <c r="P43" s="133">
        <f>SUM(B43,F43,G43,K43)</f>
        <v>4</v>
      </c>
      <c r="Q43" s="134">
        <f>SUM(C43,E43,I43)</f>
        <v>3</v>
      </c>
      <c r="R43" s="135">
        <f>SUM(D43,H43,J43)</f>
        <v>3</v>
      </c>
    </row>
    <row r="44" spans="1:18" s="157" customFormat="1" ht="73.5" customHeight="1">
      <c r="A44" s="105" t="s">
        <v>10</v>
      </c>
      <c r="B44" s="272"/>
      <c r="L44" s="147"/>
      <c r="M44" s="105"/>
      <c r="N44" s="112"/>
      <c r="O44" s="156"/>
      <c r="Q44" s="152"/>
      <c r="R44" s="153"/>
    </row>
    <row r="45" spans="1:18" s="157" customFormat="1" ht="73.5" customHeight="1">
      <c r="A45" s="105" t="s">
        <v>15</v>
      </c>
      <c r="B45" s="272"/>
      <c r="L45" s="147"/>
      <c r="M45" s="105"/>
      <c r="N45" s="112"/>
      <c r="O45" s="156"/>
      <c r="Q45" s="152"/>
      <c r="R45" s="153"/>
    </row>
    <row r="46" spans="2:18" s="157" customFormat="1" ht="73.5" customHeight="1">
      <c r="B46" s="273" t="s">
        <v>101</v>
      </c>
      <c r="C46" s="274" t="s">
        <v>106</v>
      </c>
      <c r="D46" s="274" t="s">
        <v>105</v>
      </c>
      <c r="E46" s="274" t="s">
        <v>104</v>
      </c>
      <c r="F46" s="274" t="s">
        <v>100</v>
      </c>
      <c r="G46" s="274" t="s">
        <v>99</v>
      </c>
      <c r="H46" s="274" t="s">
        <v>98</v>
      </c>
      <c r="I46" s="274" t="s">
        <v>103</v>
      </c>
      <c r="J46" s="274" t="s">
        <v>97</v>
      </c>
      <c r="K46" s="274" t="s">
        <v>96</v>
      </c>
      <c r="L46" s="275"/>
      <c r="M46" s="276" t="s">
        <v>95</v>
      </c>
      <c r="N46" s="163"/>
      <c r="O46" s="156"/>
      <c r="Q46" s="152"/>
      <c r="R46" s="153"/>
    </row>
    <row r="47" spans="1:18" s="157" customFormat="1" ht="73.5" customHeight="1">
      <c r="A47" s="277" t="s">
        <v>89</v>
      </c>
      <c r="B47" s="278">
        <v>12.82</v>
      </c>
      <c r="C47" s="222">
        <v>559</v>
      </c>
      <c r="D47" s="279">
        <v>10.24</v>
      </c>
      <c r="E47" s="222">
        <v>165</v>
      </c>
      <c r="F47" s="279">
        <v>57.55</v>
      </c>
      <c r="G47" s="279">
        <v>18.25</v>
      </c>
      <c r="H47" s="279">
        <v>31.8</v>
      </c>
      <c r="I47" s="222">
        <v>356</v>
      </c>
      <c r="J47" s="279">
        <v>44</v>
      </c>
      <c r="K47" s="279">
        <v>310.7</v>
      </c>
      <c r="L47" s="280"/>
      <c r="M47" s="281"/>
      <c r="N47" s="282"/>
      <c r="O47" s="156"/>
      <c r="Q47" s="152"/>
      <c r="R47" s="153"/>
    </row>
    <row r="48" spans="1:18" s="157" customFormat="1" ht="73.5" customHeight="1">
      <c r="A48" s="277" t="s">
        <v>88</v>
      </c>
      <c r="B48" s="173">
        <f>IF(B47=0," ",IF(B47&lt;18,TRUNC(25.4347*(18-B47)^1.81)," "))</f>
        <v>499</v>
      </c>
      <c r="C48" s="174">
        <f>IF(C47&gt;220,TRUNC(0.14354*(C47-220)^1.4)," ")</f>
        <v>500</v>
      </c>
      <c r="D48" s="174">
        <f>IF(D47&gt;1.5,TRUNC(51.39*(D47-1.5)^1.05)," ")</f>
        <v>500</v>
      </c>
      <c r="E48" s="174">
        <f>IF(E47&gt;75,TRUNC(0.84565*(E47-75)^1.42)," ")</f>
        <v>503</v>
      </c>
      <c r="F48" s="174">
        <f>IF(F47=0," ",IF(F47&lt;82,TRUNC(1.53775*(82-F47)^1.81)," "))</f>
        <v>500</v>
      </c>
      <c r="G48" s="174">
        <f>IF(G47=0," ",IF(G47&lt;28.5,TRUNC(5.74352*(28.5-G47)^1.92)," "))</f>
        <v>500</v>
      </c>
      <c r="H48" s="174">
        <f>IF(H47&gt;4,TRUNC(12.91*(H47-4)^1.1)," ")</f>
        <v>500</v>
      </c>
      <c r="I48" s="174">
        <f>IF(I47&gt;100,TRUNC(0.2797*(I47-100)^1.35)," ")</f>
        <v>498</v>
      </c>
      <c r="J48" s="174">
        <f>IF(J47&gt;7,TRUNC(10.14*(J47-7)^1.08)," ")</f>
        <v>500</v>
      </c>
      <c r="K48" s="174">
        <f>IF(K47=0," ",IF(K47&lt;480,TRUNC(0.03768*(480-K47)^1.85)," "))</f>
        <v>500</v>
      </c>
      <c r="L48" s="147"/>
      <c r="M48" s="154">
        <f>SUM(B48:K48)</f>
        <v>5000</v>
      </c>
      <c r="N48" s="155"/>
      <c r="O48" s="156"/>
      <c r="Q48" s="152"/>
      <c r="R48" s="153"/>
    </row>
    <row r="49" spans="1:18" s="157" customFormat="1" ht="73.5" customHeight="1">
      <c r="A49" s="105" t="s">
        <v>87</v>
      </c>
      <c r="B49" s="283" t="s">
        <v>136</v>
      </c>
      <c r="C49" s="284"/>
      <c r="D49" s="284"/>
      <c r="E49" s="284"/>
      <c r="F49" s="284"/>
      <c r="G49" s="283"/>
      <c r="H49" s="284"/>
      <c r="I49" s="284"/>
      <c r="J49" s="284"/>
      <c r="K49" s="284"/>
      <c r="L49" s="147"/>
      <c r="M49" s="154"/>
      <c r="N49" s="155"/>
      <c r="O49" s="156"/>
      <c r="Q49" s="152"/>
      <c r="R49" s="153"/>
    </row>
    <row r="50" spans="1:18" s="277" customFormat="1" ht="73.5" customHeight="1">
      <c r="A50" s="277" t="s">
        <v>89</v>
      </c>
      <c r="B50" s="273">
        <v>11.33</v>
      </c>
      <c r="C50" s="274">
        <v>679</v>
      </c>
      <c r="D50" s="274">
        <v>17.5</v>
      </c>
      <c r="E50" s="274">
        <v>190</v>
      </c>
      <c r="F50" s="274">
        <v>51</v>
      </c>
      <c r="G50" s="274">
        <v>13.13</v>
      </c>
      <c r="H50" s="274">
        <v>57.95</v>
      </c>
      <c r="I50" s="274">
        <v>410</v>
      </c>
      <c r="J50" s="274">
        <v>60.5</v>
      </c>
      <c r="K50" s="274">
        <v>248.9</v>
      </c>
      <c r="L50" s="280"/>
      <c r="M50" s="141"/>
      <c r="N50" s="128"/>
      <c r="O50" s="285"/>
      <c r="Q50" s="286"/>
      <c r="R50" s="287"/>
    </row>
    <row r="51" spans="1:18" s="288" customFormat="1" ht="73.5" customHeight="1">
      <c r="A51" s="288" t="s">
        <v>88</v>
      </c>
      <c r="B51" s="173">
        <f>TRUNC(4.99087*(42.5-B50*2)^1.81)</f>
        <v>1113</v>
      </c>
      <c r="C51" s="289">
        <f>TRUNC(0.188807*(C50-210)^1.41)</f>
        <v>1102</v>
      </c>
      <c r="D51" s="289">
        <f>TRUNC(56.0211*(D50-1.5)^1.05)</f>
        <v>1029</v>
      </c>
      <c r="E51" s="289">
        <f>TRUNC(1.84523*(E50-75)^1.348)</f>
        <v>1106</v>
      </c>
      <c r="F51" s="289">
        <f>TRUNC(0.11193*(254-F50*2.4)^1.88)</f>
        <v>1079</v>
      </c>
      <c r="G51" s="289">
        <f>TRUNC(9.23076*(26.7-G50)^1.835)</f>
        <v>1105</v>
      </c>
      <c r="H51" s="174">
        <f>TRUNC(12.91*(H50*H$64-4)^1.1)</f>
        <v>1173</v>
      </c>
      <c r="I51" s="174">
        <f>TRUNC(0.2797*(I50*I$64-100)^1.35)</f>
        <v>1037</v>
      </c>
      <c r="J51" s="289">
        <f>TRUNC(15.9803*(J50-3.8)^1.04)</f>
        <v>1064</v>
      </c>
      <c r="K51" s="289">
        <f>TRUNC(0.11193*(254-K50*0.5)^1.88)</f>
        <v>1047</v>
      </c>
      <c r="L51" s="290"/>
      <c r="M51" s="291">
        <f>SUM(B51:K51)</f>
        <v>10855</v>
      </c>
      <c r="N51" s="292"/>
      <c r="O51" s="289"/>
      <c r="Q51" s="293"/>
      <c r="R51" s="294"/>
    </row>
    <row r="52" spans="1:18" s="157" customFormat="1" ht="47.25" customHeight="1">
      <c r="A52" s="144" t="s">
        <v>133</v>
      </c>
      <c r="B52" s="145"/>
      <c r="C52" s="146"/>
      <c r="D52" s="159"/>
      <c r="E52" s="295"/>
      <c r="F52" s="295"/>
      <c r="G52" s="295" t="s">
        <v>137</v>
      </c>
      <c r="H52" s="295"/>
      <c r="I52" s="295"/>
      <c r="J52" s="295"/>
      <c r="K52" s="295"/>
      <c r="L52" s="147"/>
      <c r="M52" s="154"/>
      <c r="N52" s="155"/>
      <c r="O52" s="156"/>
      <c r="Q52" s="152"/>
      <c r="R52" s="153"/>
    </row>
    <row r="53" spans="1:18" s="157" customFormat="1" ht="45">
      <c r="A53" s="296"/>
      <c r="B53" s="145"/>
      <c r="C53" s="146"/>
      <c r="D53" s="146" t="s">
        <v>19</v>
      </c>
      <c r="E53" s="146"/>
      <c r="F53" s="146"/>
      <c r="G53" s="146" t="s">
        <v>138</v>
      </c>
      <c r="H53" s="146" t="s">
        <v>20</v>
      </c>
      <c r="I53" s="146"/>
      <c r="J53" s="146" t="s">
        <v>21</v>
      </c>
      <c r="K53" s="146"/>
      <c r="L53" s="147"/>
      <c r="M53" s="154"/>
      <c r="N53" s="155"/>
      <c r="O53" s="156"/>
      <c r="Q53" s="152"/>
      <c r="R53" s="153"/>
    </row>
    <row r="54" spans="1:18" s="157" customFormat="1" ht="45">
      <c r="A54" s="296"/>
      <c r="B54" s="145"/>
      <c r="C54" s="146"/>
      <c r="D54" s="297" t="s">
        <v>22</v>
      </c>
      <c r="E54" s="146"/>
      <c r="F54" s="146"/>
      <c r="G54" s="146" t="s">
        <v>139</v>
      </c>
      <c r="H54" s="146" t="s">
        <v>24</v>
      </c>
      <c r="I54" s="146"/>
      <c r="J54" s="146" t="s">
        <v>130</v>
      </c>
      <c r="K54" s="146"/>
      <c r="L54" s="147"/>
      <c r="M54" s="154"/>
      <c r="N54" s="155"/>
      <c r="O54" s="156"/>
      <c r="Q54" s="152"/>
      <c r="R54" s="153"/>
    </row>
    <row r="55" spans="1:18" s="157" customFormat="1" ht="45">
      <c r="A55" s="296"/>
      <c r="B55" s="145"/>
      <c r="C55" s="146"/>
      <c r="D55" s="146" t="s">
        <v>127</v>
      </c>
      <c r="E55" s="146"/>
      <c r="F55" s="146"/>
      <c r="G55" s="297" t="s">
        <v>140</v>
      </c>
      <c r="H55" s="146"/>
      <c r="I55" s="146"/>
      <c r="J55" s="146" t="s">
        <v>126</v>
      </c>
      <c r="K55" s="146"/>
      <c r="L55" s="147"/>
      <c r="M55" s="154"/>
      <c r="N55" s="155"/>
      <c r="O55" s="156"/>
      <c r="Q55" s="152"/>
      <c r="R55" s="153"/>
    </row>
    <row r="56" spans="1:18" s="157" customFormat="1" ht="45">
      <c r="A56" s="298"/>
      <c r="B56" s="299"/>
      <c r="C56" s="300"/>
      <c r="D56" s="300"/>
      <c r="E56" s="300"/>
      <c r="F56" s="300"/>
      <c r="G56" s="300"/>
      <c r="H56" s="300"/>
      <c r="I56" s="300"/>
      <c r="J56" s="300" t="s">
        <v>125</v>
      </c>
      <c r="K56" s="300"/>
      <c r="L56" s="147"/>
      <c r="M56" s="154"/>
      <c r="N56" s="155"/>
      <c r="O56" s="156"/>
      <c r="Q56" s="152"/>
      <c r="R56" s="153"/>
    </row>
    <row r="57" spans="1:18" s="157" customFormat="1" ht="32.25" customHeight="1">
      <c r="A57" s="105" t="s">
        <v>134</v>
      </c>
      <c r="B57" s="301"/>
      <c r="C57" s="284"/>
      <c r="D57" s="284"/>
      <c r="E57" s="284"/>
      <c r="F57" s="284"/>
      <c r="G57" s="284"/>
      <c r="H57" s="284"/>
      <c r="I57" s="284"/>
      <c r="J57" s="284"/>
      <c r="K57" s="284"/>
      <c r="L57" s="147"/>
      <c r="M57" s="105"/>
      <c r="N57" s="112"/>
      <c r="O57" s="156"/>
      <c r="Q57" s="152"/>
      <c r="R57" s="153"/>
    </row>
    <row r="58" spans="1:18" s="105" customFormat="1" ht="45">
      <c r="A58" s="112" t="s">
        <v>14</v>
      </c>
      <c r="B58" s="160" t="s">
        <v>101</v>
      </c>
      <c r="C58" s="128" t="s">
        <v>106</v>
      </c>
      <c r="D58" s="128" t="s">
        <v>105</v>
      </c>
      <c r="E58" s="128" t="s">
        <v>104</v>
      </c>
      <c r="F58" s="128" t="s">
        <v>100</v>
      </c>
      <c r="G58" s="128" t="s">
        <v>99</v>
      </c>
      <c r="H58" s="128" t="s">
        <v>98</v>
      </c>
      <c r="I58" s="128" t="s">
        <v>103</v>
      </c>
      <c r="J58" s="128" t="s">
        <v>97</v>
      </c>
      <c r="K58" s="128" t="s">
        <v>96</v>
      </c>
      <c r="L58" s="140"/>
      <c r="N58" s="112"/>
      <c r="O58" s="112"/>
      <c r="Q58" s="136"/>
      <c r="R58" s="137"/>
    </row>
    <row r="59" spans="2:18" s="157" customFormat="1" ht="45">
      <c r="B59" s="302"/>
      <c r="C59" s="302"/>
      <c r="D59" s="302"/>
      <c r="E59" s="302"/>
      <c r="F59" s="302"/>
      <c r="G59" s="302"/>
      <c r="H59" s="302"/>
      <c r="I59" s="302"/>
      <c r="J59" s="302"/>
      <c r="K59" s="161"/>
      <c r="L59" s="147"/>
      <c r="M59" s="105"/>
      <c r="N59" s="112"/>
      <c r="O59" s="156"/>
      <c r="Q59" s="152"/>
      <c r="R59" s="153"/>
    </row>
    <row r="60" spans="1:18" s="157" customFormat="1" ht="19.5" customHeight="1">
      <c r="A60" s="112">
        <v>35</v>
      </c>
      <c r="B60" s="303">
        <v>0.9869</v>
      </c>
      <c r="C60" s="303">
        <v>1.0317</v>
      </c>
      <c r="D60" s="303">
        <v>1.0372</v>
      </c>
      <c r="E60" s="303">
        <v>1.026</v>
      </c>
      <c r="F60" s="303">
        <v>0.9654</v>
      </c>
      <c r="G60" s="304">
        <v>0.9901</v>
      </c>
      <c r="H60" s="303">
        <v>1.0143</v>
      </c>
      <c r="I60" s="303">
        <v>1.0168</v>
      </c>
      <c r="J60" s="303">
        <v>1.0126</v>
      </c>
      <c r="K60" s="303">
        <v>0.9913</v>
      </c>
      <c r="L60" s="147"/>
      <c r="M60" s="105"/>
      <c r="N60" s="112"/>
      <c r="O60" s="156"/>
      <c r="Q60" s="152"/>
      <c r="R60" s="153"/>
    </row>
    <row r="61" spans="1:18" s="157" customFormat="1" ht="19.5" customHeight="1">
      <c r="A61" s="112">
        <v>40</v>
      </c>
      <c r="B61" s="303">
        <v>0.9578</v>
      </c>
      <c r="C61" s="303">
        <v>1.0899</v>
      </c>
      <c r="D61" s="303">
        <v>1.1137</v>
      </c>
      <c r="E61" s="303">
        <v>1.0486</v>
      </c>
      <c r="F61" s="303">
        <v>0.9354</v>
      </c>
      <c r="G61" s="304">
        <v>0.9526</v>
      </c>
      <c r="H61" s="303">
        <v>1.1014</v>
      </c>
      <c r="I61" s="303">
        <v>1.0773</v>
      </c>
      <c r="J61" s="303">
        <v>1.0862</v>
      </c>
      <c r="K61" s="303">
        <v>0.9519</v>
      </c>
      <c r="L61" s="147"/>
      <c r="M61" s="305"/>
      <c r="N61" s="112"/>
      <c r="O61" s="156"/>
      <c r="Q61" s="152"/>
      <c r="R61" s="153"/>
    </row>
    <row r="62" spans="1:18" s="157" customFormat="1" ht="19.5" customHeight="1">
      <c r="A62" s="112">
        <v>45</v>
      </c>
      <c r="B62" s="303">
        <v>0.9287</v>
      </c>
      <c r="C62" s="303">
        <v>1.1551</v>
      </c>
      <c r="D62" s="303">
        <v>1.2023</v>
      </c>
      <c r="E62" s="303">
        <v>1.1022</v>
      </c>
      <c r="F62" s="303">
        <v>0.9054</v>
      </c>
      <c r="G62" s="304">
        <v>0.9151</v>
      </c>
      <c r="H62" s="303">
        <v>1.2049</v>
      </c>
      <c r="I62" s="303">
        <v>1.1481</v>
      </c>
      <c r="J62" s="303">
        <v>1.1716</v>
      </c>
      <c r="K62" s="303">
        <v>0.9125</v>
      </c>
      <c r="L62" s="147"/>
      <c r="M62" s="105"/>
      <c r="N62" s="112"/>
      <c r="O62" s="156"/>
      <c r="Q62" s="152"/>
      <c r="R62" s="153"/>
    </row>
    <row r="63" spans="1:18" s="157" customFormat="1" ht="19.5" customHeight="1">
      <c r="A63" s="112">
        <v>50</v>
      </c>
      <c r="B63" s="303">
        <v>0.8996</v>
      </c>
      <c r="C63" s="303">
        <v>1.2286</v>
      </c>
      <c r="D63" s="303">
        <v>1.1721</v>
      </c>
      <c r="E63" s="303">
        <v>1.1617</v>
      </c>
      <c r="F63" s="303">
        <v>0.8754</v>
      </c>
      <c r="G63" s="303">
        <v>0.9604</v>
      </c>
      <c r="H63" s="303">
        <v>1.0218</v>
      </c>
      <c r="I63" s="303">
        <v>1.2272</v>
      </c>
      <c r="J63" s="303">
        <v>1.2278</v>
      </c>
      <c r="K63" s="303">
        <v>0.8731</v>
      </c>
      <c r="L63" s="147"/>
      <c r="M63" s="105"/>
      <c r="N63" s="112"/>
      <c r="O63" s="156"/>
      <c r="Q63" s="152"/>
      <c r="R63" s="153"/>
    </row>
    <row r="64" spans="1:18" s="157" customFormat="1" ht="19.5" customHeight="1">
      <c r="A64" s="112">
        <v>55</v>
      </c>
      <c r="B64" s="303">
        <v>0.8705</v>
      </c>
      <c r="C64" s="303">
        <v>1.3121</v>
      </c>
      <c r="D64" s="303">
        <v>1.2706</v>
      </c>
      <c r="E64" s="303">
        <v>1.228</v>
      </c>
      <c r="F64" s="303">
        <v>0.8454</v>
      </c>
      <c r="G64" s="303">
        <v>0.9229</v>
      </c>
      <c r="H64" s="303">
        <v>1.1103</v>
      </c>
      <c r="I64" s="303">
        <v>1.3182</v>
      </c>
      <c r="J64" s="303">
        <v>1.338</v>
      </c>
      <c r="K64" s="303">
        <v>0.8337</v>
      </c>
      <c r="L64" s="147"/>
      <c r="M64" s="105"/>
      <c r="N64" s="112"/>
      <c r="O64" s="156"/>
      <c r="Q64" s="152"/>
      <c r="R64" s="153"/>
    </row>
    <row r="65" spans="1:18" s="157" customFormat="1" ht="19.5" customHeight="1">
      <c r="A65" s="112">
        <v>60</v>
      </c>
      <c r="B65" s="303">
        <v>0.8414</v>
      </c>
      <c r="C65" s="303">
        <v>1.4078</v>
      </c>
      <c r="D65" s="303">
        <v>1.2482</v>
      </c>
      <c r="E65" s="303">
        <v>1.3025</v>
      </c>
      <c r="F65" s="303">
        <v>0.8154</v>
      </c>
      <c r="G65" s="303">
        <v>0.9012</v>
      </c>
      <c r="H65" s="303">
        <v>1.0628</v>
      </c>
      <c r="I65" s="303">
        <v>1.4236</v>
      </c>
      <c r="J65" s="303">
        <v>1.414</v>
      </c>
      <c r="K65" s="303">
        <v>0.7939</v>
      </c>
      <c r="L65" s="147"/>
      <c r="M65" s="105"/>
      <c r="N65" s="112"/>
      <c r="O65" s="156"/>
      <c r="Q65" s="152"/>
      <c r="R65" s="153"/>
    </row>
    <row r="66" spans="1:18" s="157" customFormat="1" ht="19.5" customHeight="1">
      <c r="A66" s="112">
        <v>65</v>
      </c>
      <c r="B66" s="303">
        <v>0.8111</v>
      </c>
      <c r="C66" s="303">
        <v>1.5186</v>
      </c>
      <c r="D66" s="303">
        <v>1.3607</v>
      </c>
      <c r="E66" s="303">
        <v>1.3869</v>
      </c>
      <c r="F66" s="303">
        <v>0.7836</v>
      </c>
      <c r="G66" s="303">
        <v>0.8637</v>
      </c>
      <c r="H66" s="303">
        <v>1.1637</v>
      </c>
      <c r="I66" s="303">
        <v>1.5475</v>
      </c>
      <c r="J66" s="303">
        <v>1.562</v>
      </c>
      <c r="K66" s="303">
        <v>0.7529</v>
      </c>
      <c r="L66" s="147"/>
      <c r="M66" s="105"/>
      <c r="N66" s="112"/>
      <c r="O66" s="156"/>
      <c r="Q66" s="152"/>
      <c r="R66" s="153"/>
    </row>
    <row r="67" spans="1:18" s="157" customFormat="1" ht="19.5" customHeight="1">
      <c r="A67" s="112">
        <v>70</v>
      </c>
      <c r="B67" s="303">
        <v>0.7782</v>
      </c>
      <c r="C67" s="303">
        <v>1.6482</v>
      </c>
      <c r="D67" s="306">
        <v>1.2806</v>
      </c>
      <c r="E67" s="303">
        <v>1.4832</v>
      </c>
      <c r="F67" s="303">
        <v>0.746</v>
      </c>
      <c r="G67" s="303">
        <v>1.022</v>
      </c>
      <c r="H67" s="303">
        <v>1.2781</v>
      </c>
      <c r="I67" s="303">
        <v>1.6949</v>
      </c>
      <c r="J67" s="303">
        <v>1.6801</v>
      </c>
      <c r="K67" s="303">
        <v>0.7079</v>
      </c>
      <c r="L67" s="147"/>
      <c r="M67" s="307"/>
      <c r="N67" s="282"/>
      <c r="O67" s="156"/>
      <c r="Q67" s="152"/>
      <c r="R67" s="153"/>
    </row>
    <row r="68" spans="1:18" s="157" customFormat="1" ht="19.5" customHeight="1">
      <c r="A68" s="112">
        <v>75</v>
      </c>
      <c r="B68" s="303">
        <v>0.7409</v>
      </c>
      <c r="C68" s="303">
        <v>1.8021</v>
      </c>
      <c r="D68" s="306">
        <v>1.3993</v>
      </c>
      <c r="E68" s="303">
        <v>1.5943</v>
      </c>
      <c r="F68" s="303">
        <v>0.6984</v>
      </c>
      <c r="G68" s="303">
        <v>0.9845</v>
      </c>
      <c r="H68" s="303">
        <v>1.4332</v>
      </c>
      <c r="I68" s="303">
        <v>1.8733</v>
      </c>
      <c r="J68" s="303">
        <v>1.8932</v>
      </c>
      <c r="K68" s="303">
        <v>0.6556</v>
      </c>
      <c r="L68" s="147"/>
      <c r="M68" s="105"/>
      <c r="N68" s="112"/>
      <c r="O68" s="156"/>
      <c r="Q68" s="152"/>
      <c r="R68" s="153"/>
    </row>
    <row r="69" spans="1:18" s="157" customFormat="1" ht="19.5" customHeight="1">
      <c r="A69" s="112">
        <v>80</v>
      </c>
      <c r="B69" s="303">
        <v>0.6967</v>
      </c>
      <c r="C69" s="303">
        <v>1.9876</v>
      </c>
      <c r="D69" s="306">
        <v>1.5053</v>
      </c>
      <c r="E69" s="303">
        <v>1.7241</v>
      </c>
      <c r="F69" s="303">
        <v>0.6363</v>
      </c>
      <c r="G69" s="303">
        <v>0.8912</v>
      </c>
      <c r="H69" s="303">
        <v>1.6441</v>
      </c>
      <c r="I69" s="303">
        <v>2.0938</v>
      </c>
      <c r="J69" s="303">
        <v>2.0952</v>
      </c>
      <c r="K69" s="303">
        <v>0.592</v>
      </c>
      <c r="L69" s="147"/>
      <c r="M69" s="105"/>
      <c r="N69" s="112"/>
      <c r="O69" s="156"/>
      <c r="Q69" s="152"/>
      <c r="R69" s="153"/>
    </row>
    <row r="70" spans="1:18" s="157" customFormat="1" ht="19.5" customHeight="1">
      <c r="A70" s="112">
        <v>85</v>
      </c>
      <c r="B70" s="303">
        <v>0.6423</v>
      </c>
      <c r="C70" s="303">
        <v>2.2158</v>
      </c>
      <c r="D70" s="306">
        <v>1.6866</v>
      </c>
      <c r="E70" s="303">
        <v>1.8779</v>
      </c>
      <c r="F70" s="303">
        <v>0.5548</v>
      </c>
      <c r="G70" s="303">
        <v>0.8344</v>
      </c>
      <c r="H70" s="303">
        <v>1.9508</v>
      </c>
      <c r="I70" s="303">
        <v>2.373</v>
      </c>
      <c r="J70" s="303">
        <v>2.4378</v>
      </c>
      <c r="K70" s="303">
        <v>0.5121</v>
      </c>
      <c r="L70" s="147"/>
      <c r="M70" s="105"/>
      <c r="N70" s="112"/>
      <c r="O70" s="156"/>
      <c r="Q70" s="152"/>
      <c r="R70" s="153"/>
    </row>
    <row r="71" spans="1:18" s="157" customFormat="1" ht="19.5" customHeight="1">
      <c r="A71" s="112">
        <v>90</v>
      </c>
      <c r="B71" s="303">
        <v>0.5735</v>
      </c>
      <c r="C71" s="303">
        <v>2.5031</v>
      </c>
      <c r="D71" s="306">
        <v>1.9535</v>
      </c>
      <c r="E71" s="303">
        <v>2.0635</v>
      </c>
      <c r="F71" s="303">
        <v>0.4485</v>
      </c>
      <c r="G71" s="303">
        <v>0.7496</v>
      </c>
      <c r="H71" s="303">
        <v>2.4402</v>
      </c>
      <c r="I71" s="303">
        <v>2.7382</v>
      </c>
      <c r="J71" s="303">
        <v>2.9137</v>
      </c>
      <c r="K71" s="303">
        <v>0.4095</v>
      </c>
      <c r="L71" s="147"/>
      <c r="M71" s="105"/>
      <c r="N71" s="112"/>
      <c r="O71" s="156"/>
      <c r="Q71" s="152"/>
      <c r="R71" s="153"/>
    </row>
    <row r="72" spans="1:18" s="157" customFormat="1" ht="19.5" customHeight="1">
      <c r="A72" s="112">
        <v>95</v>
      </c>
      <c r="B72" s="303">
        <v>0.485</v>
      </c>
      <c r="C72" s="303">
        <v>2.876</v>
      </c>
      <c r="D72" s="306">
        <v>2.4044</v>
      </c>
      <c r="E72" s="303">
        <v>2.2925</v>
      </c>
      <c r="F72" s="303">
        <v>0.3114</v>
      </c>
      <c r="G72" s="306">
        <v>0.6129</v>
      </c>
      <c r="H72" s="303">
        <v>3.3478</v>
      </c>
      <c r="I72" s="303">
        <v>3.2362</v>
      </c>
      <c r="J72" s="303">
        <v>3.6206</v>
      </c>
      <c r="K72" s="303">
        <v>0.2759</v>
      </c>
      <c r="L72" s="147"/>
      <c r="M72" s="105"/>
      <c r="N72" s="112"/>
      <c r="O72" s="156"/>
      <c r="Q72" s="152"/>
      <c r="R72" s="153"/>
    </row>
    <row r="73" spans="1:18" s="157" customFormat="1" ht="19.5" customHeight="1">
      <c r="A73" s="112" t="s">
        <v>86</v>
      </c>
      <c r="B73" s="306">
        <v>0.2735</v>
      </c>
      <c r="C73" s="306">
        <v>6.4392</v>
      </c>
      <c r="D73" s="306">
        <v>3.512</v>
      </c>
      <c r="E73" s="306">
        <v>3.5</v>
      </c>
      <c r="F73" s="306">
        <v>0.2469</v>
      </c>
      <c r="G73" s="306">
        <v>0.2981</v>
      </c>
      <c r="H73" s="303">
        <v>5.6116</v>
      </c>
      <c r="I73" s="306">
        <v>4.8547</v>
      </c>
      <c r="J73" s="306">
        <v>8.7034</v>
      </c>
      <c r="K73" s="306">
        <v>0.1908</v>
      </c>
      <c r="L73" s="147"/>
      <c r="M73" s="105"/>
      <c r="N73" s="112"/>
      <c r="O73" s="156"/>
      <c r="Q73" s="152"/>
      <c r="R73" s="153"/>
    </row>
    <row r="74" spans="1:18" s="157" customFormat="1" ht="45">
      <c r="A74" s="308"/>
      <c r="B74" s="161"/>
      <c r="C74" s="128"/>
      <c r="D74" s="128"/>
      <c r="E74" s="128"/>
      <c r="F74" s="128"/>
      <c r="G74" s="309"/>
      <c r="H74" s="128"/>
      <c r="I74" s="128"/>
      <c r="J74" s="128"/>
      <c r="K74" s="128"/>
      <c r="L74" s="147"/>
      <c r="M74" s="105"/>
      <c r="N74" s="112"/>
      <c r="O74" s="156"/>
      <c r="Q74" s="152"/>
      <c r="R74" s="153"/>
    </row>
    <row r="75" spans="1:18" s="157" customFormat="1" ht="45">
      <c r="A75" s="305" t="s">
        <v>135</v>
      </c>
      <c r="B75" s="161"/>
      <c r="C75" s="128"/>
      <c r="D75" s="128"/>
      <c r="E75" s="128"/>
      <c r="F75" s="128"/>
      <c r="G75" s="309"/>
      <c r="H75" s="128"/>
      <c r="I75" s="128"/>
      <c r="J75" s="128"/>
      <c r="K75" s="128"/>
      <c r="L75" s="147"/>
      <c r="M75" s="105"/>
      <c r="N75" s="112"/>
      <c r="O75" s="156"/>
      <c r="Q75" s="152"/>
      <c r="R75" s="153"/>
    </row>
    <row r="76" spans="2:18" s="157" customFormat="1" ht="45">
      <c r="B76" s="273" t="s">
        <v>101</v>
      </c>
      <c r="C76" s="274" t="s">
        <v>106</v>
      </c>
      <c r="D76" s="274" t="s">
        <v>105</v>
      </c>
      <c r="E76" s="274" t="s">
        <v>104</v>
      </c>
      <c r="F76" s="274" t="s">
        <v>100</v>
      </c>
      <c r="G76" s="274" t="s">
        <v>99</v>
      </c>
      <c r="H76" s="274" t="s">
        <v>98</v>
      </c>
      <c r="I76" s="274" t="s">
        <v>103</v>
      </c>
      <c r="J76" s="274" t="s">
        <v>97</v>
      </c>
      <c r="K76" s="274" t="s">
        <v>96</v>
      </c>
      <c r="L76" s="147"/>
      <c r="M76" s="105"/>
      <c r="N76" s="112"/>
      <c r="O76" s="156"/>
      <c r="Q76" s="152"/>
      <c r="R76" s="153"/>
    </row>
    <row r="77" spans="1:18" s="157" customFormat="1" ht="45">
      <c r="A77" s="277" t="s">
        <v>85</v>
      </c>
      <c r="B77" s="310">
        <v>12.82</v>
      </c>
      <c r="C77" s="311">
        <v>559</v>
      </c>
      <c r="D77" s="312">
        <v>10.24</v>
      </c>
      <c r="E77" s="311">
        <v>165</v>
      </c>
      <c r="F77" s="312">
        <v>57.55</v>
      </c>
      <c r="G77" s="312">
        <v>18.25</v>
      </c>
      <c r="H77" s="312">
        <v>31.8</v>
      </c>
      <c r="I77" s="311">
        <v>356</v>
      </c>
      <c r="J77" s="312">
        <v>44</v>
      </c>
      <c r="K77" s="312">
        <v>310.7</v>
      </c>
      <c r="L77" s="147"/>
      <c r="M77" s="105"/>
      <c r="N77" s="112"/>
      <c r="O77" s="156"/>
      <c r="Q77" s="152"/>
      <c r="R77" s="153"/>
    </row>
    <row r="78" spans="1:18" s="157" customFormat="1" ht="45">
      <c r="A78" s="277" t="s">
        <v>124</v>
      </c>
      <c r="B78" s="301">
        <f>TRUNC(25.4347*(18-B77*B$60)^1.81)</f>
        <v>528</v>
      </c>
      <c r="C78" s="284">
        <f>TRUNC(0.14354*(C77*C$60-220)^1.4)</f>
        <v>537</v>
      </c>
      <c r="D78" s="284">
        <f>TRUNC(51.39*(D77*D$60-1.5)^1.05)</f>
        <v>523</v>
      </c>
      <c r="E78" s="284">
        <f>TRUNC(0.84565*(E77*E$60-75)^1.42)</f>
        <v>538</v>
      </c>
      <c r="F78" s="284">
        <f>TRUNC(1.53775*(82-F77*F$60)^1.81)</f>
        <v>577</v>
      </c>
      <c r="G78" s="284">
        <f>TRUNC(5.74352*(28.5-G77*G$60)^1.92)</f>
        <v>518</v>
      </c>
      <c r="H78" s="284">
        <f>TRUNC(12.91*(H77*H$60-4)^1.1)</f>
        <v>509</v>
      </c>
      <c r="I78" s="284">
        <f>TRUNC(0.2797*(I77*I$60-100)^1.35)</f>
        <v>514</v>
      </c>
      <c r="J78" s="284">
        <f>TRUNC(10.14*(J77*J$60-7)^1.08)</f>
        <v>508</v>
      </c>
      <c r="K78" s="284">
        <f>TRUNC(0.03768*(480-K77*K$60)^1.85)</f>
        <v>515</v>
      </c>
      <c r="L78" s="147"/>
      <c r="M78" s="313">
        <f>SUM(B78:L78)</f>
        <v>5267</v>
      </c>
      <c r="N78" s="112"/>
      <c r="O78" s="156"/>
      <c r="Q78" s="152"/>
      <c r="R78" s="153"/>
    </row>
    <row r="79" spans="1:18" s="157" customFormat="1" ht="45">
      <c r="A79" s="277" t="s">
        <v>85</v>
      </c>
      <c r="B79" s="310">
        <v>12.82</v>
      </c>
      <c r="C79" s="311">
        <v>559</v>
      </c>
      <c r="D79" s="312">
        <v>10.24</v>
      </c>
      <c r="E79" s="311">
        <v>165</v>
      </c>
      <c r="F79" s="312">
        <v>57.55</v>
      </c>
      <c r="G79" s="312">
        <v>18.25</v>
      </c>
      <c r="H79" s="312">
        <v>31.8</v>
      </c>
      <c r="I79" s="311">
        <v>356</v>
      </c>
      <c r="J79" s="312">
        <v>44</v>
      </c>
      <c r="K79" s="312">
        <v>310.7</v>
      </c>
      <c r="L79" s="147"/>
      <c r="M79" s="105"/>
      <c r="N79" s="112"/>
      <c r="O79" s="156"/>
      <c r="Q79" s="152"/>
      <c r="R79" s="153"/>
    </row>
    <row r="80" spans="1:18" s="157" customFormat="1" ht="45">
      <c r="A80" s="277" t="s">
        <v>123</v>
      </c>
      <c r="B80" s="301">
        <f>TRUNC(25.4347*(18-B79*B$61)^1.81)</f>
        <v>597</v>
      </c>
      <c r="C80" s="284">
        <f>TRUNC(0.14354*(C79*C$61-220)^1.4)</f>
        <v>607</v>
      </c>
      <c r="D80" s="284">
        <f>TRUNC(51.39*(D79*D$61-1.5)^1.05)</f>
        <v>570</v>
      </c>
      <c r="E80" s="284">
        <f>TRUNC(0.84565*(E79*E$61-75)^1.42)</f>
        <v>568</v>
      </c>
      <c r="F80" s="284">
        <f>TRUNC(1.53775*(82-F79*F$61)^1.81)</f>
        <v>647</v>
      </c>
      <c r="G80" s="284">
        <f>TRUNC(5.74352*(28.5-G79*G$61)^1.92)</f>
        <v>585</v>
      </c>
      <c r="H80" s="284">
        <f>TRUNC(12.91*(H79*H$61-4)^1.1)</f>
        <v>564</v>
      </c>
      <c r="I80" s="284">
        <f>TRUNC(0.2797*(I79*I$61-100)^1.35)</f>
        <v>572</v>
      </c>
      <c r="J80" s="284">
        <f>TRUNC(10.14*(J79*J$61-7)^1.08)</f>
        <v>556</v>
      </c>
      <c r="K80" s="284">
        <f>TRUNC(0.03768*(480-K79*K$61)^1.85)</f>
        <v>584</v>
      </c>
      <c r="L80" s="147"/>
      <c r="M80" s="313">
        <f>SUM(B80:L80)</f>
        <v>5850</v>
      </c>
      <c r="N80" s="112"/>
      <c r="O80" s="156"/>
      <c r="Q80" s="152"/>
      <c r="R80" s="153"/>
    </row>
    <row r="81" spans="1:18" s="157" customFormat="1" ht="45">
      <c r="A81" s="277" t="s">
        <v>85</v>
      </c>
      <c r="B81" s="310">
        <v>12.82</v>
      </c>
      <c r="C81" s="311">
        <v>559</v>
      </c>
      <c r="D81" s="312">
        <v>10.24</v>
      </c>
      <c r="E81" s="311">
        <v>165</v>
      </c>
      <c r="F81" s="312">
        <v>57.55</v>
      </c>
      <c r="G81" s="312">
        <v>18.25</v>
      </c>
      <c r="H81" s="312">
        <v>31.8</v>
      </c>
      <c r="I81" s="311">
        <v>356</v>
      </c>
      <c r="J81" s="312">
        <v>44</v>
      </c>
      <c r="K81" s="312">
        <v>310.7</v>
      </c>
      <c r="L81" s="147"/>
      <c r="M81" s="105"/>
      <c r="N81" s="112"/>
      <c r="O81" s="156"/>
      <c r="Q81" s="152"/>
      <c r="R81" s="153"/>
    </row>
    <row r="82" spans="1:18" s="157" customFormat="1" ht="45">
      <c r="A82" s="277" t="s">
        <v>122</v>
      </c>
      <c r="B82" s="301">
        <f>TRUNC(25.4347*(18-B81*B$62)^1.81)</f>
        <v>670</v>
      </c>
      <c r="C82" s="284">
        <f>TRUNC(0.14354*(C81*C$62-220)^1.4)</f>
        <v>688</v>
      </c>
      <c r="D82" s="284">
        <f>TRUNC(51.39*(D81*D$62-1.5)^1.05)</f>
        <v>625</v>
      </c>
      <c r="E82" s="284">
        <f>TRUNC(0.84565*(E81*E$62-75)^1.42)</f>
        <v>642</v>
      </c>
      <c r="F82" s="284">
        <f>TRUNC(1.53775*(82-F81*F$62)^1.81)</f>
        <v>720</v>
      </c>
      <c r="G82" s="284">
        <f>TRUNC(5.74352*(28.5-G81*G$62)^1.92)</f>
        <v>656</v>
      </c>
      <c r="H82" s="284">
        <f>TRUNC(12.91*(H81*H$62-4)^1.1)</f>
        <v>630</v>
      </c>
      <c r="I82" s="284">
        <f>TRUNC(0.2797*(I81*I$62-100)^1.35)</f>
        <v>642</v>
      </c>
      <c r="J82" s="284">
        <f>TRUNC(10.14*(J81*J$62-7)^1.08)</f>
        <v>612</v>
      </c>
      <c r="K82" s="284">
        <f>TRUNC(0.03768*(480-K81*K$62)^1.85)</f>
        <v>658</v>
      </c>
      <c r="L82" s="147"/>
      <c r="M82" s="313">
        <f>SUM(B82:L82)</f>
        <v>6543</v>
      </c>
      <c r="N82" s="112"/>
      <c r="O82" s="156"/>
      <c r="Q82" s="152"/>
      <c r="R82" s="153"/>
    </row>
    <row r="83" spans="1:18" s="157" customFormat="1" ht="45">
      <c r="A83" s="277" t="s">
        <v>85</v>
      </c>
      <c r="B83" s="310">
        <v>12.82</v>
      </c>
      <c r="C83" s="311">
        <v>559</v>
      </c>
      <c r="D83" s="312">
        <v>10.24</v>
      </c>
      <c r="E83" s="311">
        <v>165</v>
      </c>
      <c r="F83" s="312">
        <v>57.55</v>
      </c>
      <c r="G83" s="312">
        <v>18.25</v>
      </c>
      <c r="H83" s="312">
        <v>31.8</v>
      </c>
      <c r="I83" s="311">
        <v>356</v>
      </c>
      <c r="J83" s="312">
        <v>44</v>
      </c>
      <c r="K83" s="312">
        <v>310.7</v>
      </c>
      <c r="L83" s="147"/>
      <c r="M83" s="105"/>
      <c r="N83" s="112"/>
      <c r="O83" s="156"/>
      <c r="Q83" s="152"/>
      <c r="R83" s="153"/>
    </row>
    <row r="84" spans="1:18" s="157" customFormat="1" ht="45">
      <c r="A84" s="277" t="s">
        <v>121</v>
      </c>
      <c r="B84" s="301">
        <f>TRUNC(25.4347*(18-B83*B$63)^1.81)</f>
        <v>746</v>
      </c>
      <c r="C84" s="284">
        <f>TRUNC(0.14354*(C83*C$63-220)^1.4)</f>
        <v>782</v>
      </c>
      <c r="D84" s="284">
        <f>TRUNC(51.39*(D83*D$63-1.5)^1.05)</f>
        <v>607</v>
      </c>
      <c r="E84" s="284">
        <f>TRUNC(0.84565*(E83*E$63-75)^1.42)</f>
        <v>728</v>
      </c>
      <c r="F84" s="284">
        <f>TRUNC(1.53775*(82-F83*F$63)^1.81)</f>
        <v>797</v>
      </c>
      <c r="G84" s="284">
        <f>TRUNC(5.74352*(28.5-G83*G$63)^1.92)</f>
        <v>570</v>
      </c>
      <c r="H84" s="284">
        <f>TRUNC(12.91*(H83*H$63-4)^1.1)</f>
        <v>514</v>
      </c>
      <c r="I84" s="284">
        <f>TRUNC(0.2797*(I83*I$63-100)^1.35)</f>
        <v>722</v>
      </c>
      <c r="J84" s="284">
        <f>TRUNC(10.14*(J83*J$63-7)^1.08)</f>
        <v>648</v>
      </c>
      <c r="K84" s="284">
        <f>TRUNC(0.03768*(480-K83*K$63)^1.85)</f>
        <v>736</v>
      </c>
      <c r="L84" s="147"/>
      <c r="M84" s="313">
        <f>SUM(B84:L84)</f>
        <v>6850</v>
      </c>
      <c r="N84" s="112"/>
      <c r="O84" s="156"/>
      <c r="Q84" s="152"/>
      <c r="R84" s="153"/>
    </row>
    <row r="85" spans="1:18" s="157" customFormat="1" ht="45">
      <c r="A85" s="277" t="s">
        <v>85</v>
      </c>
      <c r="B85" s="310">
        <v>12.82</v>
      </c>
      <c r="C85" s="311">
        <v>559</v>
      </c>
      <c r="D85" s="312">
        <v>10.24</v>
      </c>
      <c r="E85" s="311">
        <v>165</v>
      </c>
      <c r="F85" s="312">
        <v>57.55</v>
      </c>
      <c r="G85" s="312">
        <v>18.25</v>
      </c>
      <c r="H85" s="312">
        <v>31.8</v>
      </c>
      <c r="I85" s="311">
        <v>356</v>
      </c>
      <c r="J85" s="312">
        <v>44</v>
      </c>
      <c r="K85" s="312">
        <v>310.7</v>
      </c>
      <c r="L85" s="147"/>
      <c r="M85" s="105"/>
      <c r="N85" s="112"/>
      <c r="O85" s="156"/>
      <c r="Q85" s="152"/>
      <c r="R85" s="153"/>
    </row>
    <row r="86" spans="1:18" s="157" customFormat="1" ht="45">
      <c r="A86" s="277" t="s">
        <v>120</v>
      </c>
      <c r="B86" s="301">
        <f>TRUNC(25.4347*(18-B85*B$64)^1.81)</f>
        <v>825</v>
      </c>
      <c r="C86" s="284">
        <f>TRUNC(0.14354*(C85*C$64-220)^1.4)</f>
        <v>894</v>
      </c>
      <c r="D86" s="284">
        <f>TRUNC(51.39*(D85*D$64-1.5)^1.05)</f>
        <v>668</v>
      </c>
      <c r="E86" s="284">
        <f>TRUNC(0.84565*(E85*E$64-75)^1.42)</f>
        <v>827</v>
      </c>
      <c r="F86" s="284">
        <f>TRUNC(1.53775*(82-F85*F$64)^1.81)</f>
        <v>878</v>
      </c>
      <c r="G86" s="284">
        <f>TRUNC(5.74352*(28.5-G85*G$64)^1.92)</f>
        <v>641</v>
      </c>
      <c r="H86" s="284">
        <f>TRUNC(12.91*(H85*H$64-4)^1.1)</f>
        <v>570</v>
      </c>
      <c r="I86" s="284">
        <f>TRUNC(0.2797*(I85*I$64-100)^1.35)</f>
        <v>817</v>
      </c>
      <c r="J86" s="284">
        <f>TRUNC(10.14*(J85*J$64-7)^1.08)</f>
        <v>721</v>
      </c>
      <c r="K86" s="284">
        <f>TRUNC(0.03768*(480-K85*K$64)^1.85)</f>
        <v>818</v>
      </c>
      <c r="L86" s="147"/>
      <c r="M86" s="313">
        <f>SUM(B86:L86)</f>
        <v>7659</v>
      </c>
      <c r="N86" s="112"/>
      <c r="O86" s="156"/>
      <c r="Q86" s="152"/>
      <c r="R86" s="153"/>
    </row>
    <row r="87" spans="1:18" s="157" customFormat="1" ht="45">
      <c r="A87" s="277"/>
      <c r="B87" s="301"/>
      <c r="C87" s="284"/>
      <c r="D87" s="284"/>
      <c r="E87" s="284"/>
      <c r="F87" s="284"/>
      <c r="G87" s="284"/>
      <c r="H87" s="284"/>
      <c r="I87" s="284"/>
      <c r="J87" s="284"/>
      <c r="K87" s="284"/>
      <c r="L87" s="147"/>
      <c r="M87" s="105"/>
      <c r="N87" s="112"/>
      <c r="O87" s="156"/>
      <c r="Q87" s="152"/>
      <c r="R87" s="153"/>
    </row>
    <row r="88" spans="1:18" s="157" customFormat="1" ht="45">
      <c r="A88" s="308"/>
      <c r="B88" s="161"/>
      <c r="C88" s="128"/>
      <c r="D88" s="128"/>
      <c r="E88" s="128"/>
      <c r="F88" s="128"/>
      <c r="G88" s="309"/>
      <c r="H88" s="128"/>
      <c r="I88" s="128"/>
      <c r="J88" s="128"/>
      <c r="K88" s="128"/>
      <c r="L88" s="147"/>
      <c r="M88" s="105"/>
      <c r="N88" s="112"/>
      <c r="O88" s="156"/>
      <c r="Q88" s="152"/>
      <c r="R88" s="153"/>
    </row>
    <row r="89" spans="1:18" s="157" customFormat="1" ht="45">
      <c r="A89" s="305" t="s">
        <v>60</v>
      </c>
      <c r="B89" s="161"/>
      <c r="C89" s="128"/>
      <c r="D89" s="128"/>
      <c r="E89" s="128"/>
      <c r="F89" s="128"/>
      <c r="G89" s="309"/>
      <c r="H89" s="128"/>
      <c r="I89" s="128"/>
      <c r="J89" s="128"/>
      <c r="K89" s="128"/>
      <c r="L89" s="147"/>
      <c r="M89" s="105"/>
      <c r="N89" s="112"/>
      <c r="O89" s="156"/>
      <c r="Q89" s="152"/>
      <c r="R89" s="153"/>
    </row>
    <row r="90" spans="2:18" s="157" customFormat="1" ht="45">
      <c r="B90" s="314"/>
      <c r="C90" s="315"/>
      <c r="D90" s="316"/>
      <c r="E90" s="315"/>
      <c r="F90" s="316"/>
      <c r="G90" s="317"/>
      <c r="H90" s="316"/>
      <c r="I90" s="315"/>
      <c r="J90" s="316"/>
      <c r="K90" s="316"/>
      <c r="L90" s="147"/>
      <c r="M90" s="105"/>
      <c r="N90" s="112"/>
      <c r="O90" s="156"/>
      <c r="Q90" s="152"/>
      <c r="R90" s="153"/>
    </row>
    <row r="91" spans="2:18" s="157" customFormat="1" ht="33" customHeight="1">
      <c r="B91" s="273" t="s">
        <v>101</v>
      </c>
      <c r="C91" s="274" t="s">
        <v>106</v>
      </c>
      <c r="D91" s="274" t="s">
        <v>105</v>
      </c>
      <c r="E91" s="274" t="s">
        <v>104</v>
      </c>
      <c r="F91" s="274" t="s">
        <v>100</v>
      </c>
      <c r="G91" s="274" t="s">
        <v>99</v>
      </c>
      <c r="H91" s="274" t="s">
        <v>98</v>
      </c>
      <c r="I91" s="274" t="s">
        <v>103</v>
      </c>
      <c r="J91" s="274" t="s">
        <v>97</v>
      </c>
      <c r="K91" s="274" t="s">
        <v>96</v>
      </c>
      <c r="L91" s="147"/>
      <c r="M91" s="305" t="s">
        <v>95</v>
      </c>
      <c r="N91" s="112"/>
      <c r="O91" s="156"/>
      <c r="Q91" s="152"/>
      <c r="R91" s="153"/>
    </row>
    <row r="92" spans="1:18" s="157" customFormat="1" ht="33.75" customHeight="1">
      <c r="A92" s="277" t="s">
        <v>56</v>
      </c>
      <c r="B92" s="310">
        <v>9.69</v>
      </c>
      <c r="C92" s="311">
        <v>895</v>
      </c>
      <c r="D92" s="312">
        <v>23.1</v>
      </c>
      <c r="E92" s="311">
        <v>245</v>
      </c>
      <c r="F92" s="312">
        <v>43.1</v>
      </c>
      <c r="G92" s="312">
        <v>12.87</v>
      </c>
      <c r="H92" s="312">
        <v>74.08</v>
      </c>
      <c r="I92" s="311">
        <v>614</v>
      </c>
      <c r="J92" s="312">
        <v>98.65</v>
      </c>
      <c r="K92" s="312">
        <v>206</v>
      </c>
      <c r="L92" s="280"/>
      <c r="M92" s="281"/>
      <c r="N92" s="282"/>
      <c r="O92" s="156"/>
      <c r="Q92" s="152"/>
      <c r="R92" s="153"/>
    </row>
    <row r="93" spans="1:18" s="300" customFormat="1" ht="26.25" customHeight="1">
      <c r="A93" s="288" t="s">
        <v>88</v>
      </c>
      <c r="B93" s="318">
        <f>TRUNC(25.4347*(18-B92)^1.81)</f>
        <v>1174</v>
      </c>
      <c r="C93" s="319">
        <f>TRUNC(0.14354*(C92-220)^1.4)</f>
        <v>1312</v>
      </c>
      <c r="D93" s="319">
        <f>TRUNC(51.39*(D92-1.5)^1.05)</f>
        <v>1294</v>
      </c>
      <c r="E93" s="319">
        <f>TRUNC(0.84565*(E92-75)^1.42)</f>
        <v>1242</v>
      </c>
      <c r="F93" s="319">
        <f>TRUNC(1.53775*(82-F92)^1.81)</f>
        <v>1160</v>
      </c>
      <c r="G93" s="319">
        <f>TRUNC(5.74352*(28.5-G92)^1.92)</f>
        <v>1126</v>
      </c>
      <c r="H93" s="319">
        <f>TRUNC(12.91*(H92-4)^1.1)</f>
        <v>1383</v>
      </c>
      <c r="I93" s="319">
        <f>TRUNC(0.2797*(I92-100)^1.35)</f>
        <v>1277</v>
      </c>
      <c r="J93" s="319">
        <f>TRUNC(10.14*(J92-7)^1.08)</f>
        <v>1333</v>
      </c>
      <c r="K93" s="319">
        <f>TRUNC(0.03768*(480-K92)^1.85)</f>
        <v>1218</v>
      </c>
      <c r="L93" s="320"/>
      <c r="M93" s="321">
        <f>SUM(B93:K93)</f>
        <v>12519</v>
      </c>
      <c r="N93" s="292"/>
      <c r="O93" s="322"/>
      <c r="Q93" s="323"/>
      <c r="R93" s="324"/>
    </row>
    <row r="94" spans="1:18" s="157" customFormat="1" ht="33.75" customHeight="1">
      <c r="A94" s="277" t="s">
        <v>57</v>
      </c>
      <c r="B94" s="310">
        <v>10.39</v>
      </c>
      <c r="C94" s="311">
        <v>776</v>
      </c>
      <c r="D94" s="312">
        <v>18.4</v>
      </c>
      <c r="E94" s="311">
        <v>221</v>
      </c>
      <c r="F94" s="312">
        <v>46.17</v>
      </c>
      <c r="G94" s="312">
        <v>13.8</v>
      </c>
      <c r="H94" s="312">
        <v>56.2</v>
      </c>
      <c r="I94" s="311">
        <v>529</v>
      </c>
      <c r="J94" s="312">
        <v>77.2</v>
      </c>
      <c r="K94" s="312">
        <v>233.7</v>
      </c>
      <c r="L94" s="280"/>
      <c r="M94" s="281"/>
      <c r="N94" s="282"/>
      <c r="O94" s="156"/>
      <c r="Q94" s="152"/>
      <c r="R94" s="153"/>
    </row>
    <row r="95" spans="1:18" s="300" customFormat="1" ht="26.25" customHeight="1">
      <c r="A95" s="288" t="s">
        <v>88</v>
      </c>
      <c r="B95" s="318">
        <f>TRUNC(25.4347*(18-B94)^1.81)</f>
        <v>1001</v>
      </c>
      <c r="C95" s="319">
        <f>TRUNC(0.14354*(C94-220)^1.4)</f>
        <v>1000</v>
      </c>
      <c r="D95" s="319">
        <f>TRUNC(51.39*(D94-1.5)^1.05)</f>
        <v>1000</v>
      </c>
      <c r="E95" s="319">
        <f>TRUNC(0.84565*(E94-75)^1.42)</f>
        <v>1001</v>
      </c>
      <c r="F95" s="319">
        <f>TRUNC(1.53775*(82-F94)^1.81)</f>
        <v>1000</v>
      </c>
      <c r="G95" s="319">
        <f>TRUNC(5.74352*(28.5-G94)^1.92)</f>
        <v>1000</v>
      </c>
      <c r="H95" s="319">
        <f>TRUNC(12.91*(H94-4)^1.1)</f>
        <v>1000</v>
      </c>
      <c r="I95" s="319">
        <f>TRUNC(0.2797*(I94-100)^1.35)</f>
        <v>1001</v>
      </c>
      <c r="J95" s="319">
        <f>TRUNC(10.14*(J94-7)^1.08)</f>
        <v>1000</v>
      </c>
      <c r="K95" s="319">
        <f>TRUNC(0.03768*(480-K94)^1.85)</f>
        <v>1000</v>
      </c>
      <c r="L95" s="320"/>
      <c r="M95" s="321">
        <f>SUM(B95:K95)</f>
        <v>10003</v>
      </c>
      <c r="N95" s="292"/>
      <c r="O95" s="322"/>
      <c r="Q95" s="323"/>
      <c r="R95" s="324"/>
    </row>
    <row r="96" spans="1:18" s="157" customFormat="1" ht="33.75" customHeight="1">
      <c r="A96" s="277" t="s">
        <v>119</v>
      </c>
      <c r="B96" s="310">
        <v>10.83</v>
      </c>
      <c r="C96" s="311">
        <v>736</v>
      </c>
      <c r="D96" s="312">
        <v>16.79</v>
      </c>
      <c r="E96" s="311">
        <v>211</v>
      </c>
      <c r="F96" s="312">
        <v>48.18</v>
      </c>
      <c r="G96" s="312">
        <v>14.59</v>
      </c>
      <c r="H96" s="312">
        <v>51.43</v>
      </c>
      <c r="I96" s="311">
        <v>496</v>
      </c>
      <c r="J96" s="312">
        <v>70.7</v>
      </c>
      <c r="K96" s="312">
        <v>247.4</v>
      </c>
      <c r="L96" s="280"/>
      <c r="M96" s="281"/>
      <c r="N96" s="282"/>
      <c r="O96" s="156"/>
      <c r="Q96" s="152"/>
      <c r="R96" s="153"/>
    </row>
    <row r="97" spans="1:18" s="300" customFormat="1" ht="26.25" customHeight="1">
      <c r="A97" s="288" t="s">
        <v>88</v>
      </c>
      <c r="B97" s="318">
        <f>TRUNC(25.4347*(18-B96)^1.81)</f>
        <v>899</v>
      </c>
      <c r="C97" s="319">
        <f>TRUNC(0.14354*(C96-220)^1.4)</f>
        <v>900</v>
      </c>
      <c r="D97" s="319">
        <f>TRUNC(51.39*(D96-1.5)^1.05)</f>
        <v>900</v>
      </c>
      <c r="E97" s="319">
        <f>TRUNC(0.84565*(E96-75)^1.42)</f>
        <v>905</v>
      </c>
      <c r="F97" s="319">
        <f>TRUNC(1.53775*(82-F96)^1.81)</f>
        <v>900</v>
      </c>
      <c r="G97" s="319">
        <f>TRUNC(5.74352*(28.5-G96)^1.92)</f>
        <v>900</v>
      </c>
      <c r="H97" s="319">
        <f>TRUNC(12.91*(H96-4)^1.1)</f>
        <v>900</v>
      </c>
      <c r="I97" s="319">
        <f>TRUNC(0.2797*(I96-100)^1.35)</f>
        <v>898</v>
      </c>
      <c r="J97" s="319">
        <f>TRUNC(10.14*(J96-7)^1.08)</f>
        <v>900</v>
      </c>
      <c r="K97" s="319">
        <f>TRUNC(0.03768*(480-K96)^1.85)</f>
        <v>900</v>
      </c>
      <c r="L97" s="320"/>
      <c r="M97" s="321">
        <f>SUM(B97:K97)</f>
        <v>9002</v>
      </c>
      <c r="N97" s="292"/>
      <c r="O97" s="322"/>
      <c r="Q97" s="323"/>
      <c r="R97" s="324"/>
    </row>
    <row r="98" spans="1:18" s="146" customFormat="1" ht="26.25" customHeight="1">
      <c r="A98" s="159" t="s">
        <v>118</v>
      </c>
      <c r="B98" s="325">
        <v>11.27</v>
      </c>
      <c r="C98" s="284">
        <v>694</v>
      </c>
      <c r="D98" s="169">
        <v>15.17</v>
      </c>
      <c r="E98" s="284">
        <v>200</v>
      </c>
      <c r="F98" s="169">
        <v>50.32</v>
      </c>
      <c r="G98" s="169">
        <v>15.41</v>
      </c>
      <c r="H98" s="169">
        <v>46.6</v>
      </c>
      <c r="I98" s="284">
        <v>463</v>
      </c>
      <c r="J98" s="169">
        <v>64.1</v>
      </c>
      <c r="K98" s="169">
        <v>261.7</v>
      </c>
      <c r="L98" s="147"/>
      <c r="M98" s="148"/>
      <c r="N98" s="149"/>
      <c r="O98" s="150"/>
      <c r="Q98" s="152"/>
      <c r="R98" s="153"/>
    </row>
    <row r="99" spans="1:18" s="146" customFormat="1" ht="26.25" customHeight="1">
      <c r="A99" s="288" t="s">
        <v>88</v>
      </c>
      <c r="B99" s="318">
        <f>TRUNC(25.4347*(18-B98)^1.81)</f>
        <v>801</v>
      </c>
      <c r="C99" s="319">
        <f>TRUNC(0.14354*(C98-220)^1.4)</f>
        <v>799</v>
      </c>
      <c r="D99" s="319">
        <f>TRUNC(51.39*(D98-1.5)^1.05)</f>
        <v>800</v>
      </c>
      <c r="E99" s="319">
        <f>TRUNC(0.84565*(E98-75)^1.42)</f>
        <v>803</v>
      </c>
      <c r="F99" s="319">
        <f>TRUNC(1.53775*(82-F98)^1.81)</f>
        <v>800</v>
      </c>
      <c r="G99" s="319">
        <f>TRUNC(5.74352*(28.5-G98)^1.92)</f>
        <v>801</v>
      </c>
      <c r="H99" s="319">
        <f>TRUNC(12.91*(H98-4)^1.1)</f>
        <v>800</v>
      </c>
      <c r="I99" s="319">
        <f>TRUNC(0.2797*(I98-100)^1.35)</f>
        <v>799</v>
      </c>
      <c r="J99" s="319">
        <f>TRUNC(10.14*(J98-7)^1.08)</f>
        <v>800</v>
      </c>
      <c r="K99" s="319">
        <f>TRUNC(0.03768*(480-K98)^1.85)</f>
        <v>800</v>
      </c>
      <c r="L99" s="320"/>
      <c r="M99" s="321">
        <f>SUM(B99:K99)</f>
        <v>8003</v>
      </c>
      <c r="N99" s="149"/>
      <c r="O99" s="150"/>
      <c r="Q99" s="152"/>
      <c r="R99" s="153"/>
    </row>
    <row r="100" spans="1:18" s="157" customFormat="1" ht="33.75" customHeight="1">
      <c r="A100" s="277" t="s">
        <v>117</v>
      </c>
      <c r="B100" s="326">
        <v>12.816</v>
      </c>
      <c r="C100" s="311">
        <v>559</v>
      </c>
      <c r="D100" s="312">
        <v>10.24</v>
      </c>
      <c r="E100" s="327">
        <v>164.6</v>
      </c>
      <c r="F100" s="312">
        <v>57.55</v>
      </c>
      <c r="G100" s="312">
        <v>18.25</v>
      </c>
      <c r="H100" s="312">
        <v>31.8</v>
      </c>
      <c r="I100" s="327">
        <v>356.6</v>
      </c>
      <c r="J100" s="312">
        <v>44</v>
      </c>
      <c r="K100" s="312">
        <v>310.7</v>
      </c>
      <c r="L100" s="280"/>
      <c r="M100" s="281"/>
      <c r="N100" s="282"/>
      <c r="O100" s="156"/>
      <c r="Q100" s="152"/>
      <c r="R100" s="153"/>
    </row>
    <row r="101" spans="1:18" s="157" customFormat="1" ht="26.25" customHeight="1">
      <c r="A101" s="328" t="s">
        <v>88</v>
      </c>
      <c r="B101" s="329">
        <f>TRUNC(25.4347*(18-B100)^1.81)</f>
        <v>500</v>
      </c>
      <c r="C101" s="330">
        <f>TRUNC(0.14354*(C100-220)^1.4)</f>
        <v>500</v>
      </c>
      <c r="D101" s="330">
        <f>TRUNC(51.39*(D100-1.5)^1.05)</f>
        <v>500</v>
      </c>
      <c r="E101" s="330">
        <f>TRUNC(0.84565*(E100-75)^1.42)</f>
        <v>500</v>
      </c>
      <c r="F101" s="330">
        <f>TRUNC(1.53775*(82-F100)^1.81)</f>
        <v>500</v>
      </c>
      <c r="G101" s="330">
        <f>TRUNC(5.74352*(28.5-G100)^1.92)</f>
        <v>500</v>
      </c>
      <c r="H101" s="330">
        <f>TRUNC(12.91*(H100-4)^1.1)</f>
        <v>500</v>
      </c>
      <c r="I101" s="330">
        <f>TRUNC(0.2797*(I100-100)^1.35)</f>
        <v>500</v>
      </c>
      <c r="J101" s="330">
        <f>TRUNC(10.14*(J100-7)^1.08)</f>
        <v>500</v>
      </c>
      <c r="K101" s="330">
        <f>TRUNC(0.03768*(480-K100)^1.85)</f>
        <v>500</v>
      </c>
      <c r="L101" s="331"/>
      <c r="M101" s="332">
        <f>SUM(B101:K101)</f>
        <v>5000</v>
      </c>
      <c r="N101" s="149"/>
      <c r="O101" s="156"/>
      <c r="Q101" s="152"/>
      <c r="R101" s="153"/>
    </row>
    <row r="102" spans="1:18" s="105" customFormat="1" ht="33.75" customHeight="1">
      <c r="A102" s="105" t="s">
        <v>116</v>
      </c>
      <c r="B102" s="333">
        <v>17.76</v>
      </c>
      <c r="C102" s="284">
        <v>225</v>
      </c>
      <c r="D102" s="139">
        <v>1.53</v>
      </c>
      <c r="E102" s="284">
        <v>77</v>
      </c>
      <c r="F102" s="139">
        <v>81.21</v>
      </c>
      <c r="G102" s="139">
        <v>28</v>
      </c>
      <c r="H102" s="139">
        <v>4.1</v>
      </c>
      <c r="I102" s="284">
        <v>103</v>
      </c>
      <c r="J102" s="139">
        <v>7.2</v>
      </c>
      <c r="K102" s="139">
        <v>474.11</v>
      </c>
      <c r="L102" s="127"/>
      <c r="M102" s="281"/>
      <c r="N102" s="282"/>
      <c r="O102" s="112"/>
      <c r="Q102" s="136"/>
      <c r="R102" s="137"/>
    </row>
    <row r="103" spans="1:18" s="336" customFormat="1" ht="26.25" customHeight="1">
      <c r="A103" s="328" t="s">
        <v>9</v>
      </c>
      <c r="B103" s="329">
        <f>TRUNC(25.4347*(18-B102)^1.81)</f>
        <v>1</v>
      </c>
      <c r="C103" s="330">
        <f>TRUNC(0.14354*(C102-220)^1.4)</f>
        <v>1</v>
      </c>
      <c r="D103" s="330">
        <f>TRUNC(51.39*(D102-1.5)^1.05)</f>
        <v>1</v>
      </c>
      <c r="E103" s="330">
        <f>TRUNC(0.84565*(E102-75)^1.42)</f>
        <v>2</v>
      </c>
      <c r="F103" s="330">
        <f>TRUNC(1.53775*(82-F102)^1.81)</f>
        <v>1</v>
      </c>
      <c r="G103" s="330">
        <f>TRUNC(5.74352*(28.5-G102)^1.92)</f>
        <v>1</v>
      </c>
      <c r="H103" s="330">
        <f>TRUNC(12.91*(H102-4)^1.1)</f>
        <v>1</v>
      </c>
      <c r="I103" s="330">
        <f>TRUNC(0.2797*(I102-100)^1.35)</f>
        <v>1</v>
      </c>
      <c r="J103" s="330">
        <f>TRUNC(10.14*(J102-7)^1.08)</f>
        <v>1</v>
      </c>
      <c r="K103" s="330">
        <f>TRUNC(0.03768*(480-K102)^1.85)</f>
        <v>1</v>
      </c>
      <c r="L103" s="331"/>
      <c r="M103" s="332">
        <f>SUM(B103:K103)</f>
        <v>11</v>
      </c>
      <c r="N103" s="334"/>
      <c r="O103" s="335"/>
      <c r="Q103" s="337"/>
      <c r="R103" s="338"/>
    </row>
    <row r="104" spans="1:18" s="157" customFormat="1" ht="33.75" customHeight="1">
      <c r="A104" s="105"/>
      <c r="B104" s="272"/>
      <c r="L104" s="147"/>
      <c r="M104" s="105"/>
      <c r="N104" s="112"/>
      <c r="O104" s="156"/>
      <c r="Q104" s="152"/>
      <c r="R104" s="153"/>
    </row>
    <row r="105" spans="2:18" s="157" customFormat="1" ht="32.25" customHeight="1">
      <c r="B105" s="273" t="s">
        <v>101</v>
      </c>
      <c r="C105" s="274" t="s">
        <v>106</v>
      </c>
      <c r="D105" s="274" t="s">
        <v>105</v>
      </c>
      <c r="E105" s="274" t="s">
        <v>104</v>
      </c>
      <c r="F105" s="274" t="s">
        <v>100</v>
      </c>
      <c r="G105" s="274" t="s">
        <v>99</v>
      </c>
      <c r="H105" s="274" t="s">
        <v>98</v>
      </c>
      <c r="I105" s="274" t="s">
        <v>103</v>
      </c>
      <c r="J105" s="274" t="s">
        <v>97</v>
      </c>
      <c r="K105" s="274" t="s">
        <v>96</v>
      </c>
      <c r="L105" s="147"/>
      <c r="M105" s="305" t="s">
        <v>115</v>
      </c>
      <c r="N105" s="112"/>
      <c r="O105" s="156"/>
      <c r="Q105" s="152"/>
      <c r="R105" s="153"/>
    </row>
    <row r="106" spans="1:18" s="157" customFormat="1" ht="45">
      <c r="A106" s="157" t="s">
        <v>8</v>
      </c>
      <c r="B106" s="262">
        <v>14.4</v>
      </c>
      <c r="C106" s="339">
        <v>423</v>
      </c>
      <c r="D106" s="340">
        <v>8</v>
      </c>
      <c r="E106" s="339">
        <v>130</v>
      </c>
      <c r="F106" s="340">
        <v>69.9</v>
      </c>
      <c r="G106" s="340">
        <v>19.72</v>
      </c>
      <c r="H106" s="340">
        <v>21</v>
      </c>
      <c r="I106" s="339">
        <v>250</v>
      </c>
      <c r="J106" s="340">
        <v>29</v>
      </c>
      <c r="K106" s="262">
        <v>343.7</v>
      </c>
      <c r="L106" s="341"/>
      <c r="M106" s="305"/>
      <c r="N106" s="112"/>
      <c r="O106" s="156"/>
      <c r="Q106" s="152"/>
      <c r="R106" s="153"/>
    </row>
    <row r="107" spans="1:18" s="157" customFormat="1" ht="45">
      <c r="A107" s="157" t="s">
        <v>114</v>
      </c>
      <c r="B107" s="302">
        <v>0.8633000000000001</v>
      </c>
      <c r="C107" s="302">
        <v>1.3417</v>
      </c>
      <c r="D107" s="302">
        <v>1.2736</v>
      </c>
      <c r="E107" s="302">
        <v>1.2947</v>
      </c>
      <c r="F107" s="302">
        <v>0.8433</v>
      </c>
      <c r="G107" s="342">
        <v>0.9085000000000001</v>
      </c>
      <c r="H107" s="302">
        <v>1.0984</v>
      </c>
      <c r="I107" s="302">
        <v>1.3628</v>
      </c>
      <c r="J107" s="302">
        <v>1.4059</v>
      </c>
      <c r="K107" s="161">
        <v>0.8181</v>
      </c>
      <c r="L107" s="147"/>
      <c r="M107" s="305"/>
      <c r="N107" s="112"/>
      <c r="O107" s="156"/>
      <c r="Q107" s="152"/>
      <c r="R107" s="153"/>
    </row>
    <row r="108" spans="1:18" s="157" customFormat="1" ht="44.25">
      <c r="A108" s="288" t="s">
        <v>7</v>
      </c>
      <c r="B108" s="343">
        <f aca="true" t="shared" si="1" ref="B108:K108">B107*B106</f>
        <v>12.43152</v>
      </c>
      <c r="C108" s="344">
        <f t="shared" si="1"/>
        <v>567.5391</v>
      </c>
      <c r="D108" s="345">
        <f t="shared" si="1"/>
        <v>10.1888</v>
      </c>
      <c r="E108" s="344">
        <f t="shared" si="1"/>
        <v>168.311</v>
      </c>
      <c r="F108" s="346">
        <f t="shared" si="1"/>
        <v>58.94667000000001</v>
      </c>
      <c r="G108" s="345">
        <f t="shared" si="1"/>
        <v>17.91562</v>
      </c>
      <c r="H108" s="345">
        <f t="shared" si="1"/>
        <v>23.0664</v>
      </c>
      <c r="I108" s="347">
        <f t="shared" si="1"/>
        <v>340.7</v>
      </c>
      <c r="J108" s="345">
        <f t="shared" si="1"/>
        <v>40.7711</v>
      </c>
      <c r="K108" s="343">
        <f t="shared" si="1"/>
        <v>281.18097</v>
      </c>
      <c r="L108" s="290"/>
      <c r="M108" s="281"/>
      <c r="N108" s="282"/>
      <c r="O108" s="156"/>
      <c r="Q108" s="152"/>
      <c r="R108" s="153"/>
    </row>
    <row r="109" spans="1:18" s="356" customFormat="1" ht="45">
      <c r="A109" s="348" t="s">
        <v>84</v>
      </c>
      <c r="B109" s="349">
        <f>TRUNC(25.4347*(18-B108)^1.81)</f>
        <v>569</v>
      </c>
      <c r="C109" s="350">
        <f>TRUNC(0.14354*(C108-220)^1.4)</f>
        <v>518</v>
      </c>
      <c r="D109" s="350">
        <f>TRUNC(51.39*(D108-1.5)^1.05)</f>
        <v>497</v>
      </c>
      <c r="E109" s="350">
        <f>TRUNC(0.84565*(E108-75)^1.42)</f>
        <v>530</v>
      </c>
      <c r="F109" s="350">
        <f>TRUNC(1.53775*(82-F108)^1.81)</f>
        <v>450</v>
      </c>
      <c r="G109" s="350">
        <f>TRUNC(5.74352*(28.5-G108)^1.92)</f>
        <v>532</v>
      </c>
      <c r="H109" s="350">
        <f>TRUNC(12.91*(H108-4)^1.1)</f>
        <v>330</v>
      </c>
      <c r="I109" s="350">
        <f>TRUNC(0.2797*(I108-100)^1.35)</f>
        <v>458</v>
      </c>
      <c r="J109" s="350">
        <f>TRUNC(10.14*(J108-7)^1.08)</f>
        <v>453</v>
      </c>
      <c r="K109" s="351">
        <f>TRUNC(0.03768*(480-K108)^1.85)</f>
        <v>673</v>
      </c>
      <c r="L109" s="352"/>
      <c r="M109" s="353">
        <f>SUM(B109:K109)</f>
        <v>5010</v>
      </c>
      <c r="N109" s="354"/>
      <c r="O109" s="355"/>
      <c r="Q109" s="357"/>
      <c r="R109" s="358"/>
    </row>
    <row r="110" spans="1:18" s="157" customFormat="1" ht="45">
      <c r="A110" s="157" t="s">
        <v>58</v>
      </c>
      <c r="B110" s="262">
        <v>20.6</v>
      </c>
      <c r="C110" s="339">
        <v>167</v>
      </c>
      <c r="D110" s="340">
        <v>1.21</v>
      </c>
      <c r="E110" s="339">
        <v>59</v>
      </c>
      <c r="F110" s="340">
        <v>96</v>
      </c>
      <c r="G110" s="340">
        <v>30.8</v>
      </c>
      <c r="H110" s="340">
        <v>3.74</v>
      </c>
      <c r="I110" s="339">
        <v>76</v>
      </c>
      <c r="J110" s="340">
        <v>5.1</v>
      </c>
      <c r="K110" s="262">
        <v>579.53</v>
      </c>
      <c r="L110" s="341"/>
      <c r="M110" s="305"/>
      <c r="N110" s="112"/>
      <c r="O110" s="156"/>
      <c r="Q110" s="152"/>
      <c r="R110" s="153"/>
    </row>
    <row r="111" spans="1:18" s="157" customFormat="1" ht="45">
      <c r="A111" s="157" t="s">
        <v>55</v>
      </c>
      <c r="B111" s="302">
        <v>0.8633000000000001</v>
      </c>
      <c r="C111" s="302">
        <v>1.3417</v>
      </c>
      <c r="D111" s="302">
        <v>1.2736</v>
      </c>
      <c r="E111" s="302">
        <v>1.2947</v>
      </c>
      <c r="F111" s="302">
        <v>0.8433</v>
      </c>
      <c r="G111" s="342">
        <v>0.9085000000000001</v>
      </c>
      <c r="H111" s="302">
        <v>1.0984</v>
      </c>
      <c r="I111" s="302">
        <v>1.3628</v>
      </c>
      <c r="J111" s="302">
        <v>1.4059</v>
      </c>
      <c r="K111" s="161">
        <v>0.8181</v>
      </c>
      <c r="L111" s="147"/>
      <c r="M111" s="305"/>
      <c r="N111" s="112"/>
      <c r="O111" s="156"/>
      <c r="Q111" s="152"/>
      <c r="R111" s="153"/>
    </row>
    <row r="112" spans="1:18" s="157" customFormat="1" ht="44.25">
      <c r="A112" s="288" t="s">
        <v>113</v>
      </c>
      <c r="B112" s="343">
        <f aca="true" t="shared" si="2" ref="B112:K112">B111*B110</f>
        <v>17.783980000000003</v>
      </c>
      <c r="C112" s="344">
        <f t="shared" si="2"/>
        <v>224.0639</v>
      </c>
      <c r="D112" s="345">
        <f t="shared" si="2"/>
        <v>1.541056</v>
      </c>
      <c r="E112" s="344">
        <f t="shared" si="2"/>
        <v>76.3873</v>
      </c>
      <c r="F112" s="346">
        <f t="shared" si="2"/>
        <v>80.9568</v>
      </c>
      <c r="G112" s="345">
        <f t="shared" si="2"/>
        <v>27.981800000000003</v>
      </c>
      <c r="H112" s="345">
        <f t="shared" si="2"/>
        <v>4.108016</v>
      </c>
      <c r="I112" s="347">
        <f t="shared" si="2"/>
        <v>103.5728</v>
      </c>
      <c r="J112" s="345">
        <f t="shared" si="2"/>
        <v>7.170089999999999</v>
      </c>
      <c r="K112" s="343">
        <f t="shared" si="2"/>
        <v>474.113493</v>
      </c>
      <c r="L112" s="290"/>
      <c r="M112" s="281"/>
      <c r="N112" s="282"/>
      <c r="O112" s="156"/>
      <c r="Q112" s="152"/>
      <c r="R112" s="153"/>
    </row>
    <row r="113" spans="1:18" s="157" customFormat="1" ht="45">
      <c r="A113" s="277" t="s">
        <v>84</v>
      </c>
      <c r="B113" s="301">
        <f>TRUNC(25.4347*(18-B112)^1.81)</f>
        <v>1</v>
      </c>
      <c r="C113" s="359">
        <f>TRUNC(0.14354*(C112-220)^1.4)</f>
        <v>1</v>
      </c>
      <c r="D113" s="359">
        <f>TRUNC(51.39*(D112-1.5)^1.05)</f>
        <v>1</v>
      </c>
      <c r="E113" s="359">
        <f>TRUNC(0.84565*(E112-75)^1.42)</f>
        <v>1</v>
      </c>
      <c r="F113" s="359">
        <f>TRUNC(1.53775*(82-F112)^1.81)</f>
        <v>1</v>
      </c>
      <c r="G113" s="359">
        <f>TRUNC(5.74352*(28.5-G112)^1.92)</f>
        <v>1</v>
      </c>
      <c r="H113" s="359">
        <f>TRUNC(12.91*(H112-4)^1.1)</f>
        <v>1</v>
      </c>
      <c r="I113" s="359">
        <f>TRUNC(0.2797*(I112-100)^1.35)</f>
        <v>1</v>
      </c>
      <c r="J113" s="359">
        <f>TRUNC(10.14*(J112-7)^1.08)</f>
        <v>1</v>
      </c>
      <c r="K113" s="360">
        <f>TRUNC(0.03768*(480-K112)^1.85)</f>
        <v>1</v>
      </c>
      <c r="L113" s="147"/>
      <c r="M113" s="154">
        <f>SUM(B113:K113)</f>
        <v>10</v>
      </c>
      <c r="N113" s="155"/>
      <c r="O113" s="156"/>
      <c r="Q113" s="152"/>
      <c r="R113" s="153"/>
    </row>
    <row r="114" spans="1:18" s="157" customFormat="1" ht="45">
      <c r="A114" s="277"/>
      <c r="B114" s="107"/>
      <c r="C114" s="284"/>
      <c r="D114" s="284"/>
      <c r="E114" s="284"/>
      <c r="F114" s="284"/>
      <c r="G114" s="284"/>
      <c r="H114" s="284"/>
      <c r="I114" s="284"/>
      <c r="J114" s="284"/>
      <c r="K114" s="284"/>
      <c r="L114" s="147"/>
      <c r="M114" s="154"/>
      <c r="N114" s="155"/>
      <c r="O114" s="156"/>
      <c r="Q114" s="152"/>
      <c r="R114" s="153"/>
    </row>
    <row r="115" spans="1:18" s="157" customFormat="1" ht="45">
      <c r="A115" s="298"/>
      <c r="B115" s="299"/>
      <c r="C115" s="300"/>
      <c r="D115" s="300"/>
      <c r="E115" s="300"/>
      <c r="F115" s="300"/>
      <c r="G115" s="300"/>
      <c r="H115" s="300"/>
      <c r="I115" s="300"/>
      <c r="J115" s="300" t="s">
        <v>125</v>
      </c>
      <c r="K115" s="300"/>
      <c r="L115" s="147"/>
      <c r="M115" s="154"/>
      <c r="N115" s="155"/>
      <c r="O115" s="156"/>
      <c r="Q115" s="152"/>
      <c r="R115" s="153"/>
    </row>
    <row r="116" spans="1:18" s="157" customFormat="1" ht="32.25" customHeight="1">
      <c r="A116" s="105" t="s">
        <v>131</v>
      </c>
      <c r="B116" s="301"/>
      <c r="C116" s="284"/>
      <c r="D116" s="284"/>
      <c r="E116" s="284"/>
      <c r="F116" s="284"/>
      <c r="G116" s="284"/>
      <c r="H116" s="284"/>
      <c r="I116" s="284"/>
      <c r="J116" s="284"/>
      <c r="K116" s="284"/>
      <c r="L116" s="147"/>
      <c r="M116" s="105"/>
      <c r="N116" s="112"/>
      <c r="O116" s="156"/>
      <c r="Q116" s="152"/>
      <c r="R116" s="153"/>
    </row>
    <row r="117" spans="2:18" s="157" customFormat="1" ht="30.75" customHeight="1">
      <c r="B117" s="273" t="s">
        <v>101</v>
      </c>
      <c r="C117" s="274" t="s">
        <v>106</v>
      </c>
      <c r="D117" s="274" t="s">
        <v>105</v>
      </c>
      <c r="E117" s="274" t="s">
        <v>104</v>
      </c>
      <c r="F117" s="274" t="s">
        <v>100</v>
      </c>
      <c r="G117" s="274" t="s">
        <v>99</v>
      </c>
      <c r="H117" s="274" t="s">
        <v>98</v>
      </c>
      <c r="I117" s="274" t="s">
        <v>103</v>
      </c>
      <c r="J117" s="274" t="s">
        <v>97</v>
      </c>
      <c r="K117" s="274" t="s">
        <v>96</v>
      </c>
      <c r="L117" s="147"/>
      <c r="M117" s="105"/>
      <c r="N117" s="112"/>
      <c r="O117" s="156"/>
      <c r="Q117" s="152"/>
      <c r="R117" s="153"/>
    </row>
    <row r="118" spans="1:18" s="157" customFormat="1" ht="45">
      <c r="A118" s="308" t="s">
        <v>13</v>
      </c>
      <c r="B118" s="302" t="s">
        <v>83</v>
      </c>
      <c r="C118" s="302" t="s">
        <v>83</v>
      </c>
      <c r="D118" s="302" t="s">
        <v>83</v>
      </c>
      <c r="E118" s="302" t="s">
        <v>83</v>
      </c>
      <c r="F118" s="302" t="s">
        <v>83</v>
      </c>
      <c r="G118" s="302" t="s">
        <v>83</v>
      </c>
      <c r="H118" s="302" t="s">
        <v>83</v>
      </c>
      <c r="I118" s="302" t="s">
        <v>83</v>
      </c>
      <c r="J118" s="302" t="s">
        <v>83</v>
      </c>
      <c r="K118" s="161" t="s">
        <v>83</v>
      </c>
      <c r="L118" s="147"/>
      <c r="M118" s="105"/>
      <c r="N118" s="112"/>
      <c r="O118" s="156"/>
      <c r="Q118" s="152"/>
      <c r="R118" s="153"/>
    </row>
    <row r="119" spans="1:18" s="157" customFormat="1" ht="45">
      <c r="A119" s="299"/>
      <c r="B119" s="361" t="s">
        <v>112</v>
      </c>
      <c r="C119" s="361" t="s">
        <v>112</v>
      </c>
      <c r="D119" s="361" t="s">
        <v>112</v>
      </c>
      <c r="E119" s="361" t="s">
        <v>112</v>
      </c>
      <c r="F119" s="361" t="s">
        <v>112</v>
      </c>
      <c r="G119" s="361" t="s">
        <v>112</v>
      </c>
      <c r="H119" s="361" t="s">
        <v>112</v>
      </c>
      <c r="I119" s="361" t="s">
        <v>112</v>
      </c>
      <c r="J119" s="361" t="s">
        <v>112</v>
      </c>
      <c r="K119" s="362" t="s">
        <v>112</v>
      </c>
      <c r="L119" s="147"/>
      <c r="M119" s="105"/>
      <c r="N119" s="112"/>
      <c r="O119" s="156"/>
      <c r="Q119" s="152"/>
      <c r="R119" s="153"/>
    </row>
    <row r="120" spans="1:18" s="157" customFormat="1" ht="45">
      <c r="A120" s="105">
        <v>35</v>
      </c>
      <c r="B120" s="302">
        <v>0.9893000000000001</v>
      </c>
      <c r="C120" s="302">
        <v>1.051</v>
      </c>
      <c r="D120" s="302">
        <v>1</v>
      </c>
      <c r="E120" s="302">
        <v>1.0546</v>
      </c>
      <c r="F120" s="302">
        <v>0.9702000000000001</v>
      </c>
      <c r="G120" s="342">
        <v>0.9999</v>
      </c>
      <c r="H120" s="302">
        <v>1</v>
      </c>
      <c r="I120" s="302">
        <v>1.039</v>
      </c>
      <c r="J120" s="302">
        <v>1.0434</v>
      </c>
      <c r="K120" s="161">
        <v>0.9872000000000001</v>
      </c>
      <c r="L120" s="147"/>
      <c r="M120" s="105"/>
      <c r="N120" s="112"/>
      <c r="O120" s="156"/>
      <c r="Q120" s="152"/>
      <c r="R120" s="153"/>
    </row>
    <row r="121" spans="1:18" s="157" customFormat="1" ht="18" customHeight="1">
      <c r="A121" s="105"/>
      <c r="B121" s="363">
        <f>T100m/B120</f>
        <v>12.954614373799656</v>
      </c>
      <c r="C121" s="364">
        <f>TPituus/C120</f>
        <v>531.8744053282588</v>
      </c>
      <c r="D121" s="363">
        <f>TKuula/D120</f>
        <v>10.24</v>
      </c>
      <c r="E121" s="364">
        <f>TKorkeus/E120</f>
        <v>156.0781338896264</v>
      </c>
      <c r="F121" s="363">
        <f>T400m/F120</f>
        <v>59.3176664605236</v>
      </c>
      <c r="G121" s="365">
        <f>TAidat/G120</f>
        <v>18.251825182518253</v>
      </c>
      <c r="H121" s="363">
        <f>TKiekko/H120</f>
        <v>31.8</v>
      </c>
      <c r="I121" s="364">
        <f>TSeiväs/I120</f>
        <v>343.21462945139564</v>
      </c>
      <c r="J121" s="363">
        <f>TKeihäs/J120</f>
        <v>42.16982940387195</v>
      </c>
      <c r="K121" s="366">
        <f>T1500m/K120</f>
        <v>314.7285251215559</v>
      </c>
      <c r="L121" s="147"/>
      <c r="M121" s="154"/>
      <c r="N121" s="155"/>
      <c r="O121" s="156"/>
      <c r="Q121" s="152"/>
      <c r="R121" s="153"/>
    </row>
    <row r="122" spans="1:18" s="157" customFormat="1" ht="45">
      <c r="A122" s="105">
        <v>40</v>
      </c>
      <c r="B122" s="302">
        <v>0.9545</v>
      </c>
      <c r="C122" s="302">
        <v>1.1112</v>
      </c>
      <c r="D122" s="302">
        <v>1.0271</v>
      </c>
      <c r="E122" s="302">
        <v>1.1059</v>
      </c>
      <c r="F122" s="302">
        <v>0.935</v>
      </c>
      <c r="G122" s="342">
        <v>0.9562</v>
      </c>
      <c r="H122" s="302">
        <v>1</v>
      </c>
      <c r="I122" s="302">
        <v>1.1046</v>
      </c>
      <c r="J122" s="302">
        <v>1.1283</v>
      </c>
      <c r="K122" s="161">
        <v>0.9387000000000001</v>
      </c>
      <c r="L122" s="147"/>
      <c r="M122" s="305" t="s">
        <v>115</v>
      </c>
      <c r="N122" s="112"/>
      <c r="O122" s="156"/>
      <c r="Q122" s="152"/>
      <c r="R122" s="153"/>
    </row>
    <row r="123" spans="1:18" s="157" customFormat="1" ht="22.5" customHeight="1">
      <c r="A123" s="105"/>
      <c r="B123" s="363">
        <f>T100m/B122</f>
        <v>13.426925091671032</v>
      </c>
      <c r="C123" s="364">
        <f>TPituus/C122</f>
        <v>503.0597552195824</v>
      </c>
      <c r="D123" s="363">
        <f>TKuula/D122</f>
        <v>9.969817933988901</v>
      </c>
      <c r="E123" s="364">
        <f>TKorkeus/E122</f>
        <v>148.83805045664164</v>
      </c>
      <c r="F123" s="363">
        <f>T400m/F122</f>
        <v>61.55080213903743</v>
      </c>
      <c r="G123" s="365">
        <f>TAidat/G122</f>
        <v>19.085965279230287</v>
      </c>
      <c r="H123" s="363">
        <f>TKiekko/H122</f>
        <v>31.8</v>
      </c>
      <c r="I123" s="364">
        <f>TSeiväs/I122</f>
        <v>322.8317943146841</v>
      </c>
      <c r="J123" s="363">
        <f>TKeihäs/J122</f>
        <v>38.99672073030222</v>
      </c>
      <c r="K123" s="366">
        <f>T1500m/K122</f>
        <v>330.9896665601363</v>
      </c>
      <c r="L123" s="147"/>
      <c r="M123" s="105"/>
      <c r="N123" s="112"/>
      <c r="O123" s="156"/>
      <c r="Q123" s="152"/>
      <c r="R123" s="153"/>
    </row>
    <row r="124" spans="1:18" s="157" customFormat="1" ht="19.5" customHeight="1">
      <c r="A124" s="105">
        <v>45</v>
      </c>
      <c r="B124" s="302">
        <v>0.922</v>
      </c>
      <c r="C124" s="302">
        <v>1.1787</v>
      </c>
      <c r="D124" s="302">
        <v>1.1131</v>
      </c>
      <c r="E124" s="302">
        <v>1.1624</v>
      </c>
      <c r="F124" s="302">
        <v>0.9023</v>
      </c>
      <c r="G124" s="342">
        <v>0.9168000000000001</v>
      </c>
      <c r="H124" s="302">
        <v>1.0499</v>
      </c>
      <c r="I124" s="302">
        <v>1.1791</v>
      </c>
      <c r="J124" s="302">
        <v>1.2283</v>
      </c>
      <c r="K124" s="161">
        <v>0.8947</v>
      </c>
      <c r="L124" s="147"/>
      <c r="M124" s="105"/>
      <c r="N124" s="112"/>
      <c r="O124" s="156"/>
      <c r="Q124" s="152"/>
      <c r="R124" s="153"/>
    </row>
    <row r="125" spans="1:18" s="157" customFormat="1" ht="18" customHeight="1">
      <c r="A125" s="105"/>
      <c r="B125" s="363">
        <f>T100m/B124</f>
        <v>13.900216919739696</v>
      </c>
      <c r="C125" s="364">
        <f>TPituus/C124</f>
        <v>474.2512937982523</v>
      </c>
      <c r="D125" s="363">
        <f>TKuula/D124</f>
        <v>9.199532836223161</v>
      </c>
      <c r="E125" s="364">
        <f>TKorkeus/E124</f>
        <v>141.6035788024776</v>
      </c>
      <c r="F125" s="363">
        <f>T400m/F124</f>
        <v>63.7814474121689</v>
      </c>
      <c r="G125" s="365">
        <f>TAidat/G124</f>
        <v>19.906195462478184</v>
      </c>
      <c r="H125" s="363">
        <f>TKiekko/H124</f>
        <v>30.2885989141823</v>
      </c>
      <c r="I125" s="364">
        <f>TSeiväs/I124</f>
        <v>302.4340598761768</v>
      </c>
      <c r="J125" s="363">
        <f>TKeihäs/J124</f>
        <v>35.821867621916475</v>
      </c>
      <c r="K125" s="366">
        <f>T1500m/K124</f>
        <v>347.26724041578177</v>
      </c>
      <c r="L125" s="147"/>
      <c r="M125" s="105"/>
      <c r="N125" s="112"/>
      <c r="O125" s="156"/>
      <c r="Q125" s="152"/>
      <c r="R125" s="153"/>
    </row>
    <row r="126" spans="1:18" s="157" customFormat="1" ht="18" customHeight="1">
      <c r="A126" s="105">
        <v>50</v>
      </c>
      <c r="B126" s="302">
        <v>0.8917</v>
      </c>
      <c r="C126" s="302">
        <v>1.2549000000000001</v>
      </c>
      <c r="D126" s="302">
        <v>1.1468</v>
      </c>
      <c r="E126" s="302">
        <v>1.225</v>
      </c>
      <c r="F126" s="302">
        <v>0.8718</v>
      </c>
      <c r="G126" s="342">
        <v>0.9745</v>
      </c>
      <c r="H126" s="302">
        <v>1</v>
      </c>
      <c r="I126" s="302">
        <v>1.2643</v>
      </c>
      <c r="J126" s="302">
        <v>1.279</v>
      </c>
      <c r="K126" s="161">
        <v>0.8547</v>
      </c>
      <c r="L126" s="147"/>
      <c r="M126" s="105"/>
      <c r="N126" s="112"/>
      <c r="O126" s="156"/>
      <c r="Q126" s="152"/>
      <c r="R126" s="153"/>
    </row>
    <row r="127" spans="1:18" s="157" customFormat="1" ht="24" customHeight="1">
      <c r="A127" s="105"/>
      <c r="B127" s="363">
        <f>T100m/B126</f>
        <v>14.3725468206796</v>
      </c>
      <c r="C127" s="364">
        <f>TPituus/C126</f>
        <v>445.4538210215953</v>
      </c>
      <c r="D127" s="363">
        <f>TKuula/D126</f>
        <v>8.929194279734915</v>
      </c>
      <c r="E127" s="364">
        <f>TKorkeus/E126</f>
        <v>134.36734693877548</v>
      </c>
      <c r="F127" s="363">
        <f>T400m/F126</f>
        <v>66.01284698325304</v>
      </c>
      <c r="G127" s="365">
        <f>TAidat/G126</f>
        <v>18.727552591072346</v>
      </c>
      <c r="H127" s="363">
        <f>TKiekko/H126</f>
        <v>31.8</v>
      </c>
      <c r="I127" s="364">
        <f>TSeiväs/I126</f>
        <v>282.05331013208894</v>
      </c>
      <c r="J127" s="363">
        <f>TKeihäs/J126</f>
        <v>34.401876465989055</v>
      </c>
      <c r="K127" s="366">
        <f>T1500m/K126</f>
        <v>363.5193635193635</v>
      </c>
      <c r="L127" s="147"/>
      <c r="M127" s="105"/>
      <c r="N127" s="112"/>
      <c r="O127" s="156"/>
      <c r="Q127" s="152"/>
      <c r="R127" s="153"/>
    </row>
    <row r="128" spans="1:18" s="157" customFormat="1" ht="45">
      <c r="A128" s="105">
        <v>55</v>
      </c>
      <c r="B128" s="302">
        <v>0.8633000000000001</v>
      </c>
      <c r="C128" s="302">
        <v>1.3417</v>
      </c>
      <c r="D128" s="302">
        <v>1.2736</v>
      </c>
      <c r="E128" s="302">
        <v>1.2947</v>
      </c>
      <c r="F128" s="302">
        <v>0.8433</v>
      </c>
      <c r="G128" s="342">
        <v>0.9085000000000001</v>
      </c>
      <c r="H128" s="302">
        <v>1.0984</v>
      </c>
      <c r="I128" s="302">
        <v>1.3628</v>
      </c>
      <c r="J128" s="302">
        <v>1.4059</v>
      </c>
      <c r="K128" s="161">
        <v>0.8181</v>
      </c>
      <c r="L128" s="147"/>
      <c r="M128" s="105"/>
      <c r="N128" s="112"/>
      <c r="O128" s="156"/>
      <c r="Q128" s="152"/>
      <c r="R128" s="153"/>
    </row>
    <row r="129" spans="1:18" s="157" customFormat="1" ht="16.5" customHeight="1">
      <c r="A129" s="105"/>
      <c r="B129" s="363">
        <f>T100m/B128</f>
        <v>14.845360824742269</v>
      </c>
      <c r="C129" s="364">
        <f>TPituus/C128</f>
        <v>416.63561153760156</v>
      </c>
      <c r="D129" s="363">
        <f>TKuula/D128</f>
        <v>8.040201005025125</v>
      </c>
      <c r="E129" s="364">
        <f>TKorkeus/E128</f>
        <v>127.13369892639221</v>
      </c>
      <c r="F129" s="363">
        <f>T400m/F128</f>
        <v>68.24380410292896</v>
      </c>
      <c r="G129" s="365">
        <f>TAidat/G128</f>
        <v>20.088057237204183</v>
      </c>
      <c r="H129" s="363">
        <f>TKiekko/H128</f>
        <v>28.951201747997086</v>
      </c>
      <c r="I129" s="364">
        <f>TSeiväs/I128</f>
        <v>261.66715585559143</v>
      </c>
      <c r="J129" s="363">
        <f>TKeihäs/J128</f>
        <v>31.296678284373</v>
      </c>
      <c r="K129" s="366">
        <f>T1500m/K128</f>
        <v>379.78242268671306</v>
      </c>
      <c r="L129" s="147"/>
      <c r="M129" s="105"/>
      <c r="N129" s="112"/>
      <c r="O129" s="156"/>
      <c r="Q129" s="152"/>
      <c r="R129" s="153"/>
    </row>
    <row r="130" spans="1:18" s="157" customFormat="1" ht="45">
      <c r="A130" s="105">
        <v>60</v>
      </c>
      <c r="B130" s="302">
        <v>0.8367</v>
      </c>
      <c r="C130" s="302">
        <v>1.4414</v>
      </c>
      <c r="D130" s="302">
        <v>1.2703</v>
      </c>
      <c r="E130" s="302">
        <v>1.3728</v>
      </c>
      <c r="F130" s="302">
        <v>0.8166</v>
      </c>
      <c r="G130" s="342">
        <v>0.9017000000000001</v>
      </c>
      <c r="H130" s="302">
        <v>1.1232</v>
      </c>
      <c r="I130" s="302">
        <v>1.478</v>
      </c>
      <c r="J130" s="302">
        <v>1.4804</v>
      </c>
      <c r="K130" s="161">
        <v>0.7845000000000001</v>
      </c>
      <c r="L130" s="147"/>
      <c r="M130" s="105"/>
      <c r="N130" s="112"/>
      <c r="O130" s="156"/>
      <c r="Q130" s="152"/>
      <c r="R130" s="153"/>
    </row>
    <row r="131" spans="1:18" s="157" customFormat="1" ht="24" customHeight="1">
      <c r="A131" s="105"/>
      <c r="B131" s="363">
        <f>T100m/B130</f>
        <v>15.317318035138044</v>
      </c>
      <c r="C131" s="364">
        <f>TPituus/C130</f>
        <v>387.8173997502428</v>
      </c>
      <c r="D131" s="363">
        <f>TKuula/D130</f>
        <v>8.06108793198457</v>
      </c>
      <c r="E131" s="364">
        <f>TKorkeus/E130</f>
        <v>119.90093240093239</v>
      </c>
      <c r="F131" s="363">
        <f>T400m/F130</f>
        <v>70.47514082782267</v>
      </c>
      <c r="G131" s="365">
        <f>TAidat/G130</f>
        <v>20.239547521348562</v>
      </c>
      <c r="H131" s="363">
        <f>TKiekko/H130</f>
        <v>28.311965811965813</v>
      </c>
      <c r="I131" s="364">
        <f>TSeiväs/I130</f>
        <v>241.27198917456025</v>
      </c>
      <c r="J131" s="363">
        <f>TKeihäs/J130</f>
        <v>29.721696838692246</v>
      </c>
      <c r="K131" s="366">
        <f>T1500m/K130</f>
        <v>396.04843849585717</v>
      </c>
      <c r="L131" s="147"/>
      <c r="M131" s="105"/>
      <c r="N131" s="112"/>
      <c r="O131" s="156"/>
      <c r="Q131" s="152"/>
      <c r="R131" s="153"/>
    </row>
    <row r="132" spans="1:18" s="157" customFormat="1" ht="45">
      <c r="A132" s="105">
        <v>65</v>
      </c>
      <c r="B132" s="302">
        <v>0.8117000000000001</v>
      </c>
      <c r="C132" s="302">
        <v>1.557</v>
      </c>
      <c r="D132" s="302">
        <v>1.4719</v>
      </c>
      <c r="E132" s="302">
        <v>1.461</v>
      </c>
      <c r="F132" s="302">
        <v>0.7916000000000001</v>
      </c>
      <c r="G132" s="342">
        <v>0.8326</v>
      </c>
      <c r="H132" s="302">
        <v>1.2514</v>
      </c>
      <c r="I132" s="302">
        <v>1.6144</v>
      </c>
      <c r="J132" s="302">
        <v>1.6496</v>
      </c>
      <c r="K132" s="161">
        <v>0.7536</v>
      </c>
      <c r="L132" s="147"/>
      <c r="M132" s="105"/>
      <c r="N132" s="112"/>
      <c r="O132" s="156"/>
      <c r="Q132" s="152"/>
      <c r="R132" s="153"/>
    </row>
    <row r="133" spans="1:18" s="157" customFormat="1" ht="20.25" customHeight="1">
      <c r="A133" s="105"/>
      <c r="B133" s="363">
        <f>T100m/B132</f>
        <v>15.789084637181224</v>
      </c>
      <c r="C133" s="364">
        <f>TPituus/C132</f>
        <v>359.0237636480411</v>
      </c>
      <c r="D133" s="363">
        <f>TKuula/D132</f>
        <v>6.956994361029961</v>
      </c>
      <c r="E133" s="364">
        <f>TKorkeus/E132</f>
        <v>112.66255989048597</v>
      </c>
      <c r="F133" s="363">
        <f>T400m/F132</f>
        <v>72.70085901970691</v>
      </c>
      <c r="G133" s="365">
        <f>TAidat/G132</f>
        <v>21.91928897429738</v>
      </c>
      <c r="H133" s="363">
        <f>TKiekko/H132</f>
        <v>25.411539076234618</v>
      </c>
      <c r="I133" s="364">
        <f>TSeiväs/I132</f>
        <v>220.88701684836474</v>
      </c>
      <c r="J133" s="363">
        <f>TKeihäs/J132</f>
        <v>26.67313288069835</v>
      </c>
      <c r="K133" s="366">
        <f>T1500m/K132</f>
        <v>412.2876857749469</v>
      </c>
      <c r="L133" s="147"/>
      <c r="M133" s="105"/>
      <c r="N133" s="112"/>
      <c r="O133" s="156"/>
      <c r="Q133" s="152"/>
      <c r="R133" s="153"/>
    </row>
    <row r="134" spans="1:18" s="157" customFormat="1" ht="45">
      <c r="A134" s="105">
        <v>70</v>
      </c>
      <c r="B134" s="302">
        <v>0.7881</v>
      </c>
      <c r="C134" s="302">
        <v>1.6929</v>
      </c>
      <c r="D134" s="302">
        <v>1.3017</v>
      </c>
      <c r="E134" s="302">
        <v>1.5613000000000001</v>
      </c>
      <c r="F134" s="302">
        <v>0.7319</v>
      </c>
      <c r="G134" s="342">
        <v>0.9938</v>
      </c>
      <c r="H134" s="302">
        <v>1.4127</v>
      </c>
      <c r="I134" s="302">
        <v>1.7786</v>
      </c>
      <c r="J134" s="302">
        <v>1.7461</v>
      </c>
      <c r="K134" s="161">
        <v>0.723</v>
      </c>
      <c r="L134" s="147"/>
      <c r="M134" s="307" t="s">
        <v>82</v>
      </c>
      <c r="N134" s="282"/>
      <c r="O134" s="156"/>
      <c r="Q134" s="152"/>
      <c r="R134" s="153"/>
    </row>
    <row r="135" spans="1:18" s="157" customFormat="1" ht="18.75" customHeight="1">
      <c r="A135" s="105"/>
      <c r="B135" s="363">
        <f>T100m/B134</f>
        <v>16.261895698515417</v>
      </c>
      <c r="C135" s="364">
        <f>TPituus/C134</f>
        <v>330.20261090436526</v>
      </c>
      <c r="D135" s="363">
        <f>TKuula/D134</f>
        <v>7.866635937620035</v>
      </c>
      <c r="E135" s="364">
        <f>TKorkeus/E134</f>
        <v>105.42496637417536</v>
      </c>
      <c r="F135" s="363">
        <f>T400m/F134</f>
        <v>78.63096051373138</v>
      </c>
      <c r="G135" s="365">
        <f>TAidat/G134</f>
        <v>18.36385590662105</v>
      </c>
      <c r="H135" s="363">
        <f>TKiekko/H134</f>
        <v>22.5100870673179</v>
      </c>
      <c r="I135" s="364">
        <f>TSeiväs/I134</f>
        <v>200.49477116833467</v>
      </c>
      <c r="J135" s="363">
        <f>TKeihäs/J134</f>
        <v>25.199014947597504</v>
      </c>
      <c r="K135" s="366">
        <f>T1500m/K134</f>
        <v>429.7372060857538</v>
      </c>
      <c r="L135" s="147"/>
      <c r="M135" s="105"/>
      <c r="N135" s="112"/>
      <c r="O135" s="156"/>
      <c r="Q135" s="152"/>
      <c r="R135" s="153"/>
    </row>
    <row r="136" spans="1:18" s="157" customFormat="1" ht="45">
      <c r="A136" s="105">
        <v>75</v>
      </c>
      <c r="B136" s="302">
        <v>0.7417</v>
      </c>
      <c r="C136" s="302">
        <v>1.8546</v>
      </c>
      <c r="D136" s="302">
        <v>1.5043</v>
      </c>
      <c r="E136" s="302">
        <v>1.6763</v>
      </c>
      <c r="F136" s="302">
        <v>0.6643</v>
      </c>
      <c r="G136" s="342">
        <v>0.9437000000000001</v>
      </c>
      <c r="H136" s="302">
        <v>1.6217000000000001</v>
      </c>
      <c r="I136" s="302">
        <v>1.98</v>
      </c>
      <c r="J136" s="302">
        <v>2.0098</v>
      </c>
      <c r="K136" s="161">
        <v>0.6686000000000001</v>
      </c>
      <c r="L136" s="147"/>
      <c r="M136" s="105"/>
      <c r="N136" s="112"/>
      <c r="O136" s="156"/>
      <c r="Q136" s="152"/>
      <c r="R136" s="153"/>
    </row>
    <row r="137" spans="1:18" s="157" customFormat="1" ht="18.75" customHeight="1">
      <c r="A137" s="105"/>
      <c r="B137" s="363">
        <f>T100m/B136</f>
        <v>17.27922340568963</v>
      </c>
      <c r="C137" s="364">
        <f>TPituus/C136</f>
        <v>301.4127035479349</v>
      </c>
      <c r="D137" s="363">
        <f>TKuula/D136</f>
        <v>6.8071528285581335</v>
      </c>
      <c r="E137" s="364">
        <f>TKorkeus/E136</f>
        <v>98.19244765256816</v>
      </c>
      <c r="F137" s="363">
        <f>T400m/F136</f>
        <v>86.63254553665512</v>
      </c>
      <c r="G137" s="365">
        <f>TAidat/G136</f>
        <v>19.33877291512133</v>
      </c>
      <c r="H137" s="363">
        <f>TKiekko/H136</f>
        <v>19.609052229142257</v>
      </c>
      <c r="I137" s="364">
        <f>TSeiväs/I136</f>
        <v>180.1010101010101</v>
      </c>
      <c r="J137" s="363">
        <f>TKeihäs/J136</f>
        <v>21.892725644342722</v>
      </c>
      <c r="K137" s="366">
        <f>T1500m/K136</f>
        <v>464.702363146874</v>
      </c>
      <c r="L137" s="147"/>
      <c r="M137" s="105"/>
      <c r="N137" s="112"/>
      <c r="O137" s="156"/>
      <c r="Q137" s="152"/>
      <c r="R137" s="153"/>
    </row>
    <row r="138" spans="1:18" s="157" customFormat="1" ht="45">
      <c r="A138" s="105">
        <v>80</v>
      </c>
      <c r="B138" s="302">
        <v>0.6894</v>
      </c>
      <c r="C138" s="302">
        <v>2.0506</v>
      </c>
      <c r="D138" s="302">
        <v>1.7816</v>
      </c>
      <c r="E138" s="302">
        <v>1.8097</v>
      </c>
      <c r="F138" s="302">
        <v>0.6082000000000001</v>
      </c>
      <c r="G138" s="342">
        <v>0.8607</v>
      </c>
      <c r="H138" s="302">
        <v>1.9033</v>
      </c>
      <c r="I138" s="302">
        <v>2.2327</v>
      </c>
      <c r="J138" s="302">
        <v>2.0612</v>
      </c>
      <c r="K138" s="161">
        <v>0.6236</v>
      </c>
      <c r="L138" s="147"/>
      <c r="M138" s="105"/>
      <c r="N138" s="112"/>
      <c r="O138" s="156"/>
      <c r="Q138" s="152"/>
      <c r="R138" s="153"/>
    </row>
    <row r="139" spans="1:18" s="157" customFormat="1" ht="20.25" customHeight="1">
      <c r="A139" s="105"/>
      <c r="B139" s="363">
        <f>T100m/B138</f>
        <v>18.590078328981726</v>
      </c>
      <c r="C139" s="364">
        <f>TPituus/C138</f>
        <v>272.60314054423094</v>
      </c>
      <c r="D139" s="363">
        <f>TKuula/D138</f>
        <v>5.747642568477772</v>
      </c>
      <c r="E139" s="364">
        <f>TKorkeus/E138</f>
        <v>90.95430181798088</v>
      </c>
      <c r="F139" s="363">
        <f>T400m/F138</f>
        <v>94.62347911871093</v>
      </c>
      <c r="G139" s="365">
        <f>TAidat/G138</f>
        <v>21.203671430231207</v>
      </c>
      <c r="H139" s="363">
        <f>TKiekko/H138</f>
        <v>16.707823254347712</v>
      </c>
      <c r="I139" s="364">
        <f>TSeiväs/I138</f>
        <v>159.7169346531106</v>
      </c>
      <c r="J139" s="363">
        <f>TKeihäs/J138</f>
        <v>21.34678827867262</v>
      </c>
      <c r="K139" s="366">
        <f>T1500m/K138</f>
        <v>498.2360487491982</v>
      </c>
      <c r="L139" s="147"/>
      <c r="M139" s="105"/>
      <c r="N139" s="112"/>
      <c r="O139" s="156"/>
      <c r="Q139" s="152"/>
      <c r="R139" s="153"/>
    </row>
    <row r="140" spans="1:18" s="157" customFormat="1" ht="45">
      <c r="A140" s="105">
        <v>85</v>
      </c>
      <c r="B140" s="302">
        <v>0.6316</v>
      </c>
      <c r="C140" s="302">
        <v>2.3553</v>
      </c>
      <c r="D140" s="302">
        <v>2.1843</v>
      </c>
      <c r="E140" s="302">
        <v>1.966</v>
      </c>
      <c r="F140" s="302">
        <v>0.5266000000000001</v>
      </c>
      <c r="G140" s="342">
        <v>0.7377</v>
      </c>
      <c r="H140" s="302">
        <v>2.3034</v>
      </c>
      <c r="I140" s="302">
        <v>2.5595</v>
      </c>
      <c r="J140" s="302">
        <v>2.6164</v>
      </c>
      <c r="K140" s="161">
        <v>0.5483</v>
      </c>
      <c r="L140" s="147"/>
      <c r="M140" s="105"/>
      <c r="N140" s="112"/>
      <c r="O140" s="156"/>
      <c r="Q140" s="152"/>
      <c r="R140" s="153"/>
    </row>
    <row r="141" spans="1:18" s="157" customFormat="1" ht="20.25" customHeight="1">
      <c r="A141" s="105"/>
      <c r="B141" s="363">
        <f>T100m/B140</f>
        <v>20.291323622545914</v>
      </c>
      <c r="C141" s="364">
        <f>TPituus/C140</f>
        <v>237.33706958773828</v>
      </c>
      <c r="D141" s="363">
        <f>TKuula/D140</f>
        <v>4.6880007325001145</v>
      </c>
      <c r="E141" s="364">
        <f>TKorkeus/E140</f>
        <v>83.7232960325534</v>
      </c>
      <c r="F141" s="363">
        <f>T400m/F140</f>
        <v>109.28598556779338</v>
      </c>
      <c r="G141" s="365">
        <f>TAidat/G140</f>
        <v>24.73905381591433</v>
      </c>
      <c r="H141" s="363">
        <f>TKiekko/H140</f>
        <v>13.805678562125555</v>
      </c>
      <c r="I141" s="364">
        <f>TSeiväs/I140</f>
        <v>139.32408673569057</v>
      </c>
      <c r="J141" s="363">
        <f>TKeihäs/J140</f>
        <v>16.817000458645467</v>
      </c>
      <c r="K141" s="366">
        <f>T1500m/K140</f>
        <v>566.6605872697428</v>
      </c>
      <c r="L141" s="147"/>
      <c r="M141" s="105"/>
      <c r="N141" s="112"/>
      <c r="O141" s="156"/>
      <c r="Q141" s="152"/>
      <c r="R141" s="153"/>
    </row>
    <row r="142" spans="1:18" s="157" customFormat="1" ht="45">
      <c r="A142" s="105">
        <v>90</v>
      </c>
      <c r="B142" s="302">
        <v>0.5759000000000001</v>
      </c>
      <c r="C142" s="302">
        <v>3.0442</v>
      </c>
      <c r="D142" s="302">
        <v>2.8222</v>
      </c>
      <c r="E142" s="302">
        <v>2.2072</v>
      </c>
      <c r="F142" s="302">
        <v>0.43620000000000003</v>
      </c>
      <c r="G142" s="342">
        <v>0.6148</v>
      </c>
      <c r="H142" s="302">
        <v>2.9162</v>
      </c>
      <c r="I142" s="302">
        <v>3.07</v>
      </c>
      <c r="J142" s="302">
        <v>3.5811</v>
      </c>
      <c r="K142" s="161">
        <v>0.44160000000000005</v>
      </c>
      <c r="L142" s="147"/>
      <c r="M142" s="105"/>
      <c r="N142" s="112"/>
      <c r="O142" s="156"/>
      <c r="Q142" s="152"/>
      <c r="R142" s="153"/>
    </row>
    <row r="143" spans="1:18" s="157" customFormat="1" ht="21" customHeight="1">
      <c r="A143" s="105"/>
      <c r="B143" s="363">
        <f>T100m/B142</f>
        <v>22.25386351797187</v>
      </c>
      <c r="C143" s="364">
        <f>TPituus/C142</f>
        <v>183.62788253071415</v>
      </c>
      <c r="D143" s="363">
        <f>TKuula/D142</f>
        <v>3.6283750265750125</v>
      </c>
      <c r="E143" s="364">
        <f>TKorkeus/E142</f>
        <v>74.57412105835448</v>
      </c>
      <c r="F143" s="363">
        <f>T400m/F142</f>
        <v>131.93489225126086</v>
      </c>
      <c r="G143" s="365">
        <f>TAidat/G142</f>
        <v>29.68445022771633</v>
      </c>
      <c r="H143" s="363">
        <f>TKiekko/H142</f>
        <v>10.90460187915781</v>
      </c>
      <c r="I143" s="364">
        <f>TSeiväs/I142</f>
        <v>116.15635179153095</v>
      </c>
      <c r="J143" s="363">
        <f>TKeihäs/J142</f>
        <v>12.28672754181676</v>
      </c>
      <c r="K143" s="366">
        <f>T1500m/K142</f>
        <v>703.5778985507245</v>
      </c>
      <c r="L143" s="147"/>
      <c r="M143" s="105"/>
      <c r="N143" s="112"/>
      <c r="O143" s="156"/>
      <c r="Q143" s="152"/>
      <c r="R143" s="153"/>
    </row>
    <row r="144" spans="1:18" s="157" customFormat="1" ht="45">
      <c r="A144" s="105">
        <v>95</v>
      </c>
      <c r="B144" s="302">
        <v>0.4925</v>
      </c>
      <c r="C144" s="302">
        <v>4.6134</v>
      </c>
      <c r="D144" s="302">
        <v>3.9862</v>
      </c>
      <c r="E144" s="302">
        <v>2.6630000000000003</v>
      </c>
      <c r="F144" s="302">
        <v>0.3185</v>
      </c>
      <c r="G144" s="342">
        <v>0.4781</v>
      </c>
      <c r="H144" s="302">
        <v>3.9735</v>
      </c>
      <c r="I144" s="302">
        <v>4.0933</v>
      </c>
      <c r="J144" s="302">
        <v>5.6724</v>
      </c>
      <c r="K144" s="161">
        <v>0.3179</v>
      </c>
      <c r="L144" s="147"/>
      <c r="M144" s="105"/>
      <c r="N144" s="112"/>
      <c r="O144" s="156"/>
      <c r="Q144" s="152"/>
      <c r="R144" s="153"/>
    </row>
    <row r="145" spans="1:18" s="157" customFormat="1" ht="21" customHeight="1">
      <c r="A145" s="105"/>
      <c r="B145" s="363">
        <f>T100m/B144</f>
        <v>26.022335025380713</v>
      </c>
      <c r="C145" s="364">
        <f>TPituus/C144</f>
        <v>121.16876923743875</v>
      </c>
      <c r="D145" s="363">
        <f>TKuula/D144</f>
        <v>2.5688625758868096</v>
      </c>
      <c r="E145" s="364">
        <f>TKorkeus/E144</f>
        <v>61.80998873450994</v>
      </c>
      <c r="F145" s="363">
        <f>T400m/F144</f>
        <v>180.69073783359497</v>
      </c>
      <c r="G145" s="365">
        <f>TAidat/G144</f>
        <v>38.17193055846057</v>
      </c>
      <c r="H145" s="363">
        <f>TKiekko/H144</f>
        <v>8.003020007550019</v>
      </c>
      <c r="I145" s="364">
        <f>TSeiväs/I144</f>
        <v>87.117973273398</v>
      </c>
      <c r="J145" s="363">
        <f>TKeihäs/J144</f>
        <v>7.756857767435301</v>
      </c>
      <c r="K145" s="366">
        <f>T1500m/K144</f>
        <v>977.3513683548284</v>
      </c>
      <c r="L145" s="147"/>
      <c r="M145" s="105"/>
      <c r="N145" s="112"/>
      <c r="O145" s="156"/>
      <c r="Q145" s="152"/>
      <c r="R145" s="153"/>
    </row>
    <row r="146" spans="1:18" s="157" customFormat="1" ht="45">
      <c r="A146" s="308" t="s">
        <v>86</v>
      </c>
      <c r="B146" s="302">
        <v>0.2417</v>
      </c>
      <c r="C146" s="302">
        <v>11.9333</v>
      </c>
      <c r="D146" s="302">
        <v>6.7847</v>
      </c>
      <c r="E146" s="302">
        <v>3.5</v>
      </c>
      <c r="F146" s="302">
        <v>0.2417</v>
      </c>
      <c r="G146" s="342">
        <v>0.32280000000000003</v>
      </c>
      <c r="H146" s="302">
        <v>6.2333</v>
      </c>
      <c r="I146" s="302">
        <v>6.14</v>
      </c>
      <c r="J146" s="302">
        <v>13.6357</v>
      </c>
      <c r="K146" s="161">
        <v>0.2417</v>
      </c>
      <c r="L146" s="147"/>
      <c r="M146" s="105"/>
      <c r="N146" s="112"/>
      <c r="O146" s="156"/>
      <c r="Q146" s="152"/>
      <c r="R146" s="153"/>
    </row>
    <row r="147" spans="2:18" s="157" customFormat="1" ht="20.25" customHeight="1">
      <c r="B147" s="363">
        <f>T100m/B146</f>
        <v>53.02441042614812</v>
      </c>
      <c r="C147" s="364">
        <f>TPituus/C146</f>
        <v>46.843706267335946</v>
      </c>
      <c r="D147" s="363">
        <f>TKuula/D146</f>
        <v>1.5092782289563282</v>
      </c>
      <c r="E147" s="364">
        <f>TKorkeus/E146</f>
        <v>47.028571428571425</v>
      </c>
      <c r="F147" s="363">
        <f>T400m/F146</f>
        <v>238.10508895324782</v>
      </c>
      <c r="G147" s="365">
        <f>TAidat/G146</f>
        <v>56.53655514250309</v>
      </c>
      <c r="H147" s="363">
        <f>TKiekko/H146</f>
        <v>5.101631559527057</v>
      </c>
      <c r="I147" s="364">
        <f>TSeiväs/I146</f>
        <v>58.078175895765476</v>
      </c>
      <c r="J147" s="363">
        <f>TKeihäs/J146</f>
        <v>3.2268237054203306</v>
      </c>
      <c r="K147" s="366">
        <f>T1500m/K146</f>
        <v>1285.477865122052</v>
      </c>
      <c r="L147" s="147"/>
      <c r="M147" s="105"/>
      <c r="N147" s="112"/>
      <c r="O147" s="156"/>
      <c r="Q147" s="152"/>
      <c r="R147" s="153"/>
    </row>
    <row r="148" spans="2:18" s="157" customFormat="1" ht="45">
      <c r="B148" s="314"/>
      <c r="C148" s="315"/>
      <c r="D148" s="316"/>
      <c r="E148" s="315"/>
      <c r="F148" s="316"/>
      <c r="G148" s="317"/>
      <c r="H148" s="316"/>
      <c r="I148" s="315"/>
      <c r="J148" s="316"/>
      <c r="K148" s="316"/>
      <c r="L148" s="147"/>
      <c r="M148" s="105"/>
      <c r="N148" s="112"/>
      <c r="O148" s="156"/>
      <c r="Q148" s="152"/>
      <c r="R148" s="153"/>
    </row>
    <row r="149" spans="2:11" ht="12.75">
      <c r="B149" s="43"/>
      <c r="C149" s="23"/>
      <c r="D149" s="24"/>
      <c r="E149" s="23"/>
      <c r="F149" s="24"/>
      <c r="G149" s="25"/>
      <c r="H149" s="24"/>
      <c r="I149" s="23"/>
      <c r="J149" s="24"/>
      <c r="K149" s="24"/>
    </row>
    <row r="150" spans="2:11" ht="12.75">
      <c r="B150" s="43"/>
      <c r="C150" s="23"/>
      <c r="D150" s="24"/>
      <c r="E150" s="23"/>
      <c r="F150" s="24"/>
      <c r="G150" s="25"/>
      <c r="H150" s="24"/>
      <c r="I150" s="23"/>
      <c r="J150" s="24"/>
      <c r="K150" s="24"/>
    </row>
    <row r="151" ht="19.5" customHeight="1"/>
    <row r="152" spans="2:11" ht="18">
      <c r="B152" s="44"/>
      <c r="C152" s="45"/>
      <c r="D152" s="45"/>
      <c r="E152" s="45"/>
      <c r="F152" s="45"/>
      <c r="G152" s="45"/>
      <c r="H152" s="45"/>
      <c r="I152" s="45"/>
      <c r="J152" s="45"/>
      <c r="K152" s="74"/>
    </row>
    <row r="153" spans="1:11" ht="20.25" customHeight="1">
      <c r="A153" s="8"/>
      <c r="B153" s="20"/>
      <c r="C153" s="21"/>
      <c r="D153" s="22"/>
      <c r="E153" s="21"/>
      <c r="F153" s="22"/>
      <c r="G153" s="22"/>
      <c r="H153" s="22"/>
      <c r="I153" s="21"/>
      <c r="J153" s="22"/>
      <c r="K153" s="22"/>
    </row>
    <row r="154" spans="1:11" ht="15">
      <c r="A154" s="46"/>
      <c r="B154" s="18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ht="15">
      <c r="A155" s="8"/>
      <c r="B155" s="20"/>
      <c r="C155" s="21"/>
      <c r="D155" s="22"/>
      <c r="E155" s="21"/>
      <c r="F155" s="22"/>
      <c r="G155" s="22"/>
      <c r="H155" s="22"/>
      <c r="I155" s="21"/>
      <c r="J155" s="22"/>
      <c r="K155" s="22"/>
    </row>
    <row r="156" spans="1:11" ht="15">
      <c r="A156" s="46"/>
      <c r="B156" s="18"/>
      <c r="C156" s="11"/>
      <c r="D156" s="11"/>
      <c r="E156" s="11"/>
      <c r="F156" s="11"/>
      <c r="G156" s="11"/>
      <c r="H156" s="11"/>
      <c r="I156" s="11"/>
      <c r="J156" s="11"/>
      <c r="K156" s="11"/>
    </row>
    <row r="160" ht="12.75">
      <c r="F160" s="47"/>
    </row>
  </sheetData>
  <sheetProtection/>
  <printOptions horizontalCentered="1" verticalCentered="1"/>
  <pageMargins left="0.20000000298023224" right="0.19680555164813995" top="0.19680555164813995" bottom="0.19680555164813995" header="0.5115277767181396" footer="0.5115277767181396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8"/>
  <sheetViews>
    <sheetView zoomScaleSheetLayoutView="75" zoomScalePageLayoutView="0" workbookViewId="0" topLeftCell="A4">
      <selection activeCell="D6" sqref="D6"/>
    </sheetView>
  </sheetViews>
  <sheetFormatPr defaultColWidth="9.140625" defaultRowHeight="12.75"/>
  <cols>
    <col min="1" max="1" width="15.7109375" style="0" customWidth="1"/>
    <col min="2" max="2" width="9.7109375" style="0" customWidth="1"/>
    <col min="6" max="6" width="10.140625" style="0" customWidth="1"/>
    <col min="7" max="7" width="10.00390625" style="0" customWidth="1"/>
    <col min="8" max="8" width="9.7109375" style="0" customWidth="1"/>
    <col min="10" max="10" width="9.7109375" style="0" customWidth="1"/>
    <col min="11" max="11" width="11.140625" style="0" customWidth="1"/>
    <col min="13" max="13" width="15.421875" style="0" customWidth="1"/>
  </cols>
  <sheetData>
    <row r="2" spans="1:10" ht="15.75">
      <c r="A2" s="48" t="s">
        <v>51</v>
      </c>
      <c r="B2" s="49"/>
      <c r="C2" s="13"/>
      <c r="D2" s="13"/>
      <c r="E2" s="13"/>
      <c r="F2" s="13"/>
      <c r="G2" s="13" t="s">
        <v>1</v>
      </c>
      <c r="H2" s="13"/>
      <c r="I2" s="13"/>
      <c r="J2" s="13"/>
    </row>
    <row r="3" spans="1:10" ht="12.75">
      <c r="A3" s="14"/>
      <c r="B3" s="10"/>
      <c r="C3" s="6"/>
      <c r="D3" s="6" t="s">
        <v>19</v>
      </c>
      <c r="E3" s="6"/>
      <c r="F3" s="6"/>
      <c r="G3" s="6" t="s">
        <v>0</v>
      </c>
      <c r="H3" s="6" t="s">
        <v>20</v>
      </c>
      <c r="I3" s="6"/>
      <c r="J3" s="6" t="s">
        <v>21</v>
      </c>
    </row>
    <row r="4" spans="1:10" ht="12.75">
      <c r="A4" s="14"/>
      <c r="B4" s="10"/>
      <c r="C4" s="6"/>
      <c r="D4" s="15" t="s">
        <v>22</v>
      </c>
      <c r="E4" s="6"/>
      <c r="F4" s="6"/>
      <c r="G4" s="6" t="s">
        <v>2</v>
      </c>
      <c r="H4" s="6" t="s">
        <v>24</v>
      </c>
      <c r="I4" s="6"/>
      <c r="J4" s="6" t="s">
        <v>130</v>
      </c>
    </row>
    <row r="5" spans="1:10" ht="12.75">
      <c r="A5" s="14"/>
      <c r="B5" s="10"/>
      <c r="C5" s="6"/>
      <c r="D5" s="6" t="s">
        <v>127</v>
      </c>
      <c r="E5" s="6"/>
      <c r="F5" s="6"/>
      <c r="G5" s="15" t="s">
        <v>3</v>
      </c>
      <c r="H5" s="6"/>
      <c r="I5" s="6"/>
      <c r="J5" s="6" t="s">
        <v>126</v>
      </c>
    </row>
    <row r="6" spans="1:10" ht="12.75">
      <c r="A6" s="16"/>
      <c r="B6" s="50" t="s">
        <v>132</v>
      </c>
      <c r="C6" s="17"/>
      <c r="D6" s="17"/>
      <c r="E6" s="17"/>
      <c r="F6" s="17"/>
      <c r="G6" s="17"/>
      <c r="H6" s="17"/>
      <c r="I6" s="17"/>
      <c r="J6" s="17" t="s">
        <v>125</v>
      </c>
    </row>
    <row r="7" spans="2:13" ht="32.25" customHeight="1">
      <c r="B7" s="51" t="s">
        <v>81</v>
      </c>
      <c r="C7" s="52" t="s">
        <v>80</v>
      </c>
      <c r="D7" s="52" t="s">
        <v>79</v>
      </c>
      <c r="E7" s="52" t="s">
        <v>78</v>
      </c>
      <c r="F7" s="52" t="s">
        <v>100</v>
      </c>
      <c r="G7" s="52" t="s">
        <v>77</v>
      </c>
      <c r="H7" s="52" t="s">
        <v>76</v>
      </c>
      <c r="I7" s="52" t="s">
        <v>75</v>
      </c>
      <c r="J7" s="52" t="s">
        <v>74</v>
      </c>
      <c r="K7" s="52" t="s">
        <v>96</v>
      </c>
      <c r="M7" s="45" t="s">
        <v>115</v>
      </c>
    </row>
    <row r="8" spans="1:13" ht="18">
      <c r="A8" t="s">
        <v>111</v>
      </c>
      <c r="B8" s="29">
        <v>14.4</v>
      </c>
      <c r="C8" s="30">
        <v>423</v>
      </c>
      <c r="D8" s="31">
        <v>8</v>
      </c>
      <c r="E8" s="30">
        <v>130</v>
      </c>
      <c r="F8" s="31">
        <v>69.9</v>
      </c>
      <c r="G8" s="31">
        <v>19.72</v>
      </c>
      <c r="H8" s="31">
        <v>21</v>
      </c>
      <c r="I8" s="30">
        <v>250</v>
      </c>
      <c r="J8" s="31">
        <v>29</v>
      </c>
      <c r="K8" s="31">
        <v>343.7</v>
      </c>
      <c r="L8" s="32" t="s">
        <v>110</v>
      </c>
      <c r="M8" s="45"/>
    </row>
    <row r="9" spans="1:13" s="42" customFormat="1" ht="18">
      <c r="A9" s="53" t="s">
        <v>84</v>
      </c>
      <c r="B9" s="54">
        <f>TRUNC(25.4347*(18-B40)^1.81)</f>
        <v>569</v>
      </c>
      <c r="C9" s="55">
        <f>TRUNC(0.14354*(C40-220)^1.4)</f>
        <v>518</v>
      </c>
      <c r="D9" s="55">
        <f>TRUNC(51.39*(D40-1.5)^1.05)</f>
        <v>497</v>
      </c>
      <c r="E9" s="55">
        <f>TRUNC(0.84565*(E40-75)^1.42)</f>
        <v>530</v>
      </c>
      <c r="F9" s="55">
        <f>TRUNC(1.53775*(82-F40)^1.81)</f>
        <v>450</v>
      </c>
      <c r="G9" s="55">
        <f>TRUNC(5.74352*(28.5-G40)^1.92)</f>
        <v>532</v>
      </c>
      <c r="H9" s="55">
        <f>TRUNC(12.91*(H40-4)^1.1)</f>
        <v>330</v>
      </c>
      <c r="I9" s="55">
        <f>TRUNC(0.2797*(I40-100)^1.35)</f>
        <v>458</v>
      </c>
      <c r="J9" s="55">
        <f>TRUNC(10.14*(J40-7)^1.08)</f>
        <v>453</v>
      </c>
      <c r="K9" s="55">
        <f>TRUNC(0.03768*(480-K40)^1.85)</f>
        <v>673</v>
      </c>
      <c r="M9" s="56">
        <f>SUM(B9:K9)</f>
        <v>5010</v>
      </c>
    </row>
    <row r="10" spans="1:13" ht="18">
      <c r="A10" t="s">
        <v>73</v>
      </c>
      <c r="B10" s="29">
        <v>13.9</v>
      </c>
      <c r="C10" s="30">
        <v>406</v>
      </c>
      <c r="D10" s="31">
        <v>7</v>
      </c>
      <c r="E10" s="30">
        <v>125</v>
      </c>
      <c r="F10" s="31">
        <v>68.5</v>
      </c>
      <c r="G10" s="31">
        <v>19.9</v>
      </c>
      <c r="H10" s="31">
        <v>17</v>
      </c>
      <c r="I10" s="30">
        <v>230</v>
      </c>
      <c r="J10" s="31">
        <v>28.8</v>
      </c>
      <c r="K10" s="31">
        <v>343.2</v>
      </c>
      <c r="L10" s="32" t="s">
        <v>109</v>
      </c>
      <c r="M10" s="45"/>
    </row>
    <row r="11" spans="1:13" s="42" customFormat="1" ht="18">
      <c r="A11" s="53" t="s">
        <v>84</v>
      </c>
      <c r="B11" s="40">
        <f>TRUNC(25.4347*(18-B42)^1.81)</f>
        <v>651</v>
      </c>
      <c r="C11" s="41">
        <f>TRUNC(0.14354*(C42-220)^1.4)</f>
        <v>471</v>
      </c>
      <c r="D11" s="41">
        <f>TRUNC(51.39*(D42-1.5)^1.05)</f>
        <v>421</v>
      </c>
      <c r="E11" s="41">
        <f>TRUNC(0.84565*(E42-75)^1.42)</f>
        <v>478</v>
      </c>
      <c r="F11" s="41">
        <f>TRUNC(1.53775*(82-F42)^1.81)</f>
        <v>492</v>
      </c>
      <c r="G11" s="41">
        <f>TRUNC(5.74352*(28.5-G42)^1.92)</f>
        <v>517</v>
      </c>
      <c r="H11" s="41">
        <f>TRUNC(12.91*(H42-4)^1.1)</f>
        <v>247</v>
      </c>
      <c r="I11" s="41">
        <f>TRUNC(0.2797*(I42-100)^1.35)</f>
        <v>390</v>
      </c>
      <c r="J11" s="41">
        <f>TRUNC(10.14*(J42-7)^1.08)</f>
        <v>449</v>
      </c>
      <c r="K11" s="41">
        <f>TRUNC(0.03768*(480-K42)^1.85)</f>
        <v>675</v>
      </c>
      <c r="M11" s="56">
        <f>SUM(B11:K11)</f>
        <v>4791</v>
      </c>
    </row>
    <row r="12" spans="1:13" ht="18">
      <c r="A12" t="s">
        <v>72</v>
      </c>
      <c r="B12" s="29">
        <v>14.4</v>
      </c>
      <c r="C12" s="30">
        <v>384</v>
      </c>
      <c r="D12" s="31">
        <v>7.7</v>
      </c>
      <c r="E12" s="30">
        <v>130</v>
      </c>
      <c r="F12" s="31">
        <v>72.7</v>
      </c>
      <c r="G12" s="31">
        <v>21.4</v>
      </c>
      <c r="H12" s="31">
        <v>18</v>
      </c>
      <c r="I12" s="30">
        <v>210</v>
      </c>
      <c r="J12" s="31">
        <v>21.5</v>
      </c>
      <c r="K12" s="31">
        <v>377.1</v>
      </c>
      <c r="L12" s="32" t="s">
        <v>71</v>
      </c>
      <c r="M12" s="45"/>
    </row>
    <row r="13" spans="1:13" s="42" customFormat="1" ht="18">
      <c r="A13" s="53" t="s">
        <v>84</v>
      </c>
      <c r="B13" s="40">
        <f>TRUNC(25.4347*(18-B44)^1.81)</f>
        <v>569</v>
      </c>
      <c r="C13" s="41">
        <f>TRUNC(0.14354*(C44-220)^1.4)</f>
        <v>412</v>
      </c>
      <c r="D13" s="41">
        <f>TRUNC(51.39*(D44-1.5)^1.05)</f>
        <v>474</v>
      </c>
      <c r="E13" s="41">
        <f>TRUNC(0.84565*(E44-75)^1.42)</f>
        <v>530</v>
      </c>
      <c r="F13" s="41">
        <f>TRUNC(1.53775*(82-F44)^1.81)</f>
        <v>370</v>
      </c>
      <c r="G13" s="41">
        <f>TRUNC(5.74352*(28.5-G44)^1.92)</f>
        <v>395</v>
      </c>
      <c r="H13" s="41">
        <f>TRUNC(12.91*(H44-4)^1.1)</f>
        <v>268</v>
      </c>
      <c r="I13" s="41">
        <f>TRUNC(0.2797*(I44-100)^1.35)</f>
        <v>324</v>
      </c>
      <c r="J13" s="41">
        <f>TRUNC(10.14*(J44-7)^1.08)</f>
        <v>302</v>
      </c>
      <c r="K13" s="41">
        <f>TRUNC(0.03768*(480-K44)^1.85)</f>
        <v>512</v>
      </c>
      <c r="M13" s="56">
        <f>SUM(B13:K13)</f>
        <v>4156</v>
      </c>
    </row>
    <row r="14" spans="1:13" ht="18">
      <c r="A14" t="s">
        <v>70</v>
      </c>
      <c r="B14" s="29">
        <v>20.7</v>
      </c>
      <c r="C14" s="30">
        <v>320</v>
      </c>
      <c r="D14" s="31">
        <v>6</v>
      </c>
      <c r="E14" s="30">
        <v>125</v>
      </c>
      <c r="F14" s="31">
        <v>97</v>
      </c>
      <c r="G14" s="31">
        <v>31</v>
      </c>
      <c r="H14" s="31">
        <v>14</v>
      </c>
      <c r="I14" s="30">
        <v>250</v>
      </c>
      <c r="J14" s="31">
        <v>17</v>
      </c>
      <c r="K14" s="31">
        <v>580</v>
      </c>
      <c r="L14" s="32" t="s">
        <v>69</v>
      </c>
      <c r="M14" s="45"/>
    </row>
    <row r="15" spans="1:13" s="42" customFormat="1" ht="18">
      <c r="A15" s="57" t="s">
        <v>84</v>
      </c>
      <c r="B15" s="26">
        <f>TRUNC(25.4347*(18-B46)^1.81)</f>
        <v>0</v>
      </c>
      <c r="C15" s="58">
        <f>TRUNC(0.14354*(C46-220)^1.4)</f>
        <v>254</v>
      </c>
      <c r="D15" s="58">
        <f>TRUNC(51.39*(D46-1.5)^1.05)</f>
        <v>345</v>
      </c>
      <c r="E15" s="58">
        <f>TRUNC(0.84565*(E46-75)^1.42)</f>
        <v>478</v>
      </c>
      <c r="F15" s="58">
        <f>TRUNC(1.53775*(82-F46)^1.81)</f>
        <v>0</v>
      </c>
      <c r="G15" s="58">
        <f>TRUNC(5.74352*(28.5-G46)^1.92)</f>
        <v>0</v>
      </c>
      <c r="H15" s="58">
        <f>TRUNC(12.91*(H46-4)^1.1)</f>
        <v>187</v>
      </c>
      <c r="I15" s="58">
        <f>TRUNC(0.2797*(I46-100)^1.35)</f>
        <v>458</v>
      </c>
      <c r="J15" s="58">
        <f>TRUNC(10.14*(J46-7)^1.08)</f>
        <v>214</v>
      </c>
      <c r="K15" s="58">
        <f>TRUNC(0.03768*(480-K46)^1.85)</f>
        <v>0</v>
      </c>
      <c r="L15" s="27"/>
      <c r="M15" s="59">
        <f>SUM(B15:K15)</f>
        <v>1936</v>
      </c>
    </row>
    <row r="16" spans="1:13" ht="18">
      <c r="A16" t="s">
        <v>68</v>
      </c>
      <c r="B16" s="29">
        <v>18.3</v>
      </c>
      <c r="C16" s="30">
        <v>269</v>
      </c>
      <c r="D16" s="31">
        <v>7.3</v>
      </c>
      <c r="E16" s="30">
        <v>110</v>
      </c>
      <c r="F16" s="31">
        <v>83.3</v>
      </c>
      <c r="G16" s="31">
        <v>31</v>
      </c>
      <c r="H16" s="31">
        <v>18.5</v>
      </c>
      <c r="I16" s="30">
        <v>160</v>
      </c>
      <c r="J16" s="31">
        <v>25</v>
      </c>
      <c r="K16" s="31">
        <v>408.9</v>
      </c>
      <c r="L16" s="32" t="s">
        <v>67</v>
      </c>
      <c r="M16" s="45"/>
    </row>
    <row r="17" spans="1:13" s="42" customFormat="1" ht="18">
      <c r="A17" s="57" t="s">
        <v>84</v>
      </c>
      <c r="B17" s="26">
        <f>TRUNC(25.4347*(18-B48)^1.81)</f>
        <v>106</v>
      </c>
      <c r="C17" s="58">
        <f>TRUNC(0.14354*(C48-220)^1.4)</f>
        <v>146</v>
      </c>
      <c r="D17" s="58">
        <f>TRUNC(51.39*(D48-1.5)^1.05)</f>
        <v>444</v>
      </c>
      <c r="E17" s="58">
        <f>TRUNC(0.84565*(E48-75)^1.42)</f>
        <v>334</v>
      </c>
      <c r="F17" s="58">
        <f>TRUNC(1.53775*(82-F48)^1.81)</f>
        <v>133</v>
      </c>
      <c r="G17" s="58">
        <f>TRUNC(5.74352*(28.5-G48)^1.92)</f>
        <v>0</v>
      </c>
      <c r="H17" s="58">
        <f>TRUNC(12.91*(H48-4)^1.1)</f>
        <v>278</v>
      </c>
      <c r="I17" s="58">
        <f>TRUNC(0.2797*(I48-100)^1.35)</f>
        <v>175</v>
      </c>
      <c r="J17" s="58">
        <f>TRUNC(10.14*(J48-7)^1.08)</f>
        <v>372</v>
      </c>
      <c r="K17" s="58">
        <f>TRUNC(0.03768*(480-K48)^1.85)</f>
        <v>377</v>
      </c>
      <c r="L17" s="27"/>
      <c r="M17" s="59">
        <f>SUM(B17:K17)</f>
        <v>2365</v>
      </c>
    </row>
    <row r="18" spans="1:13" ht="18">
      <c r="A18" t="s">
        <v>90</v>
      </c>
      <c r="B18" s="29">
        <v>17</v>
      </c>
      <c r="C18" s="30">
        <v>269</v>
      </c>
      <c r="D18" s="31">
        <v>6.8</v>
      </c>
      <c r="E18" s="30">
        <v>58</v>
      </c>
      <c r="F18" s="31">
        <v>88</v>
      </c>
      <c r="G18" s="31">
        <v>31</v>
      </c>
      <c r="H18" s="31">
        <v>17</v>
      </c>
      <c r="I18" s="30">
        <v>75</v>
      </c>
      <c r="J18" s="31">
        <v>23.2</v>
      </c>
      <c r="K18" s="31">
        <v>580</v>
      </c>
      <c r="L18" s="32" t="s">
        <v>69</v>
      </c>
      <c r="M18" s="45"/>
    </row>
    <row r="19" spans="1:13" s="42" customFormat="1" ht="18">
      <c r="A19" s="57" t="s">
        <v>84</v>
      </c>
      <c r="B19" s="26">
        <f>TRUNC(25.4347*(18-B50)^1.81)</f>
        <v>223</v>
      </c>
      <c r="C19" s="58">
        <f>TRUNC(0.14354*(C50-220)^1.4)</f>
        <v>146</v>
      </c>
      <c r="D19" s="58">
        <f>TRUNC(51.39*(D50-1.5)^1.05)</f>
        <v>406</v>
      </c>
      <c r="E19" s="58">
        <f>TRUNC(0.84565*(E50-75)^1.42)</f>
        <v>0</v>
      </c>
      <c r="F19" s="58">
        <f>TRUNC(1.53775*(82-F50)^1.81)</f>
        <v>63</v>
      </c>
      <c r="G19" s="58">
        <f>TRUNC(5.74352*(28.5-G50)^1.92)</f>
        <v>0</v>
      </c>
      <c r="H19" s="58">
        <f>TRUNC(12.91*(H50-4)^1.1)</f>
        <v>247</v>
      </c>
      <c r="I19" s="58">
        <f>TRUNC(0.2797*(I50-100)^1.35)</f>
        <v>0</v>
      </c>
      <c r="J19" s="58">
        <f>TRUNC(10.14*(J50-7)^1.08)</f>
        <v>336</v>
      </c>
      <c r="K19" s="58">
        <f>TRUNC(0.03768*(480-K50)^1.85)</f>
        <v>0</v>
      </c>
      <c r="L19" s="27"/>
      <c r="M19" s="59">
        <f>SUM(B19:K19)</f>
        <v>1421</v>
      </c>
    </row>
    <row r="20" spans="1:13" ht="18">
      <c r="A20" t="s">
        <v>91</v>
      </c>
      <c r="B20" s="29">
        <v>20.7</v>
      </c>
      <c r="C20" s="30">
        <v>166</v>
      </c>
      <c r="D20" s="31">
        <v>7.1</v>
      </c>
      <c r="E20" s="30">
        <v>58</v>
      </c>
      <c r="F20" s="31">
        <v>96.35</v>
      </c>
      <c r="G20" s="31">
        <v>31</v>
      </c>
      <c r="H20" s="31">
        <v>17.7</v>
      </c>
      <c r="I20" s="30">
        <v>75</v>
      </c>
      <c r="J20" s="31">
        <v>18</v>
      </c>
      <c r="K20" s="31">
        <v>580</v>
      </c>
      <c r="L20" s="32" t="s">
        <v>69</v>
      </c>
      <c r="M20" s="45"/>
    </row>
    <row r="21" spans="1:13" s="42" customFormat="1" ht="18">
      <c r="A21" s="57" t="s">
        <v>84</v>
      </c>
      <c r="B21" s="26">
        <f>TRUNC(25.4347*(18-B52)^1.81)</f>
        <v>0</v>
      </c>
      <c r="C21" s="58">
        <f>TRUNC(0.14354*(C52-220)^1.4)</f>
        <v>0</v>
      </c>
      <c r="D21" s="58">
        <f>TRUNC(51.39*(D52-1.5)^1.05)</f>
        <v>428</v>
      </c>
      <c r="E21" s="58">
        <f>TRUNC(0.84565*(E52-75)^1.42)</f>
        <v>0</v>
      </c>
      <c r="F21" s="58">
        <f>TRUNC(1.53775*(82-F52)^1.81)</f>
        <v>0</v>
      </c>
      <c r="G21" s="58">
        <f>TRUNC(5.74352*(28.5-G52)^1.92)</f>
        <v>0</v>
      </c>
      <c r="H21" s="58">
        <f>TRUNC(12.91*(H52-4)^1.1)</f>
        <v>262</v>
      </c>
      <c r="I21" s="58">
        <f>TRUNC(0.2797*(I52-100)^1.35)</f>
        <v>0</v>
      </c>
      <c r="J21" s="58">
        <f>TRUNC(10.14*(J52-7)^1.08)</f>
        <v>234</v>
      </c>
      <c r="K21" s="58">
        <f>TRUNC(0.03768*(480-K52)^1.85)</f>
        <v>0</v>
      </c>
      <c r="L21" s="27"/>
      <c r="M21" s="59">
        <f>SUM(B21:K21)</f>
        <v>924</v>
      </c>
    </row>
    <row r="22" spans="1:13" ht="18">
      <c r="A22" t="s">
        <v>66</v>
      </c>
      <c r="B22" s="29">
        <v>20.7</v>
      </c>
      <c r="C22" s="30">
        <v>166</v>
      </c>
      <c r="D22" s="31">
        <v>5.55</v>
      </c>
      <c r="E22" s="30">
        <v>58</v>
      </c>
      <c r="F22" s="31">
        <v>96.35</v>
      </c>
      <c r="G22" s="31">
        <v>31</v>
      </c>
      <c r="H22" s="31">
        <v>3.73</v>
      </c>
      <c r="I22" s="30">
        <v>75</v>
      </c>
      <c r="J22" s="31">
        <v>5.05</v>
      </c>
      <c r="K22" s="31">
        <v>580</v>
      </c>
      <c r="L22" s="32" t="s">
        <v>69</v>
      </c>
      <c r="M22" s="45"/>
    </row>
    <row r="23" spans="1:13" ht="18">
      <c r="A23" s="57" t="s">
        <v>84</v>
      </c>
      <c r="B23" s="26">
        <f>TRUNC(25.4347*(18-B54)^1.81)</f>
        <v>0</v>
      </c>
      <c r="C23" s="58">
        <f>TRUNC(0.14354*(C54-220)^1.4)</f>
        <v>0</v>
      </c>
      <c r="D23" s="58">
        <f>TRUNC(51.39*(D54-1.5)^1.05)</f>
        <v>311</v>
      </c>
      <c r="E23" s="58">
        <f>TRUNC(0.84565*(E54-75)^1.42)</f>
        <v>0</v>
      </c>
      <c r="F23" s="58">
        <f>TRUNC(1.53775*(82-F54)^1.81)</f>
        <v>0</v>
      </c>
      <c r="G23" s="58">
        <f>TRUNC(5.74352*(28.5-G54)^1.92)</f>
        <v>0</v>
      </c>
      <c r="H23" s="58">
        <f>TRUNC(12.91*(H54-4)^1.1)</f>
        <v>0</v>
      </c>
      <c r="I23" s="58">
        <f>TRUNC(0.2797*(I54-100)^1.35)</f>
        <v>0</v>
      </c>
      <c r="J23" s="58">
        <f>TRUNC(10.14*(J54-7)^1.08)</f>
        <v>0</v>
      </c>
      <c r="K23" s="58">
        <f>TRUNC(0.03768*(480-K54)^1.85)</f>
        <v>0</v>
      </c>
      <c r="L23" s="27"/>
      <c r="M23" s="59">
        <f>SUM(B23:K23)</f>
        <v>311</v>
      </c>
    </row>
    <row r="24" spans="1:13" ht="18">
      <c r="A24" t="s">
        <v>65</v>
      </c>
      <c r="B24" s="29">
        <v>20.7</v>
      </c>
      <c r="C24" s="30">
        <v>166</v>
      </c>
      <c r="D24" s="31">
        <v>9.5</v>
      </c>
      <c r="E24" s="30">
        <v>58</v>
      </c>
      <c r="F24" s="31">
        <v>96.35</v>
      </c>
      <c r="G24" s="31">
        <v>31</v>
      </c>
      <c r="H24" s="31">
        <v>21.5</v>
      </c>
      <c r="I24" s="30">
        <v>75</v>
      </c>
      <c r="J24" s="31">
        <v>24.6</v>
      </c>
      <c r="K24" s="31">
        <v>580</v>
      </c>
      <c r="L24" s="32" t="s">
        <v>69</v>
      </c>
      <c r="M24" s="45"/>
    </row>
    <row r="25" spans="1:13" ht="18">
      <c r="A25" s="57" t="s">
        <v>84</v>
      </c>
      <c r="B25" s="26">
        <f>TRUNC(25.4347*(18-B56)^1.81)</f>
        <v>0</v>
      </c>
      <c r="C25" s="58">
        <f>TRUNC(0.14354*(C56-220)^1.4)</f>
        <v>0</v>
      </c>
      <c r="D25" s="58">
        <f>TRUNC(51.39*(D56-1.5)^1.05)</f>
        <v>612</v>
      </c>
      <c r="E25" s="58">
        <f>TRUNC(0.84565*(E56-75)^1.42)</f>
        <v>0</v>
      </c>
      <c r="F25" s="58">
        <f>TRUNC(1.53775*(82-F56)^1.81)</f>
        <v>0</v>
      </c>
      <c r="G25" s="58">
        <f>TRUNC(5.74352*(28.5-G56)^1.92)</f>
        <v>0</v>
      </c>
      <c r="H25" s="58">
        <f>TRUNC(12.91*(H56-4)^1.1)</f>
        <v>341</v>
      </c>
      <c r="I25" s="58">
        <f>TRUNC(0.2797*(I56-100)^1.35)</f>
        <v>0</v>
      </c>
      <c r="J25" s="58">
        <f>TRUNC(10.14*(J56-7)^1.08)</f>
        <v>364</v>
      </c>
      <c r="K25" s="58">
        <f>TRUNC(0.03768*(480-K56)^1.85)</f>
        <v>0</v>
      </c>
      <c r="L25" s="27"/>
      <c r="M25" s="59">
        <f>SUM(B25:K25)</f>
        <v>1317</v>
      </c>
    </row>
    <row r="26" spans="1:13" ht="18">
      <c r="A26" t="s">
        <v>64</v>
      </c>
      <c r="B26" s="29">
        <v>20.7</v>
      </c>
      <c r="C26" s="30">
        <v>205</v>
      </c>
      <c r="D26" s="31">
        <v>9.35</v>
      </c>
      <c r="E26" s="30">
        <v>115</v>
      </c>
      <c r="F26" s="31">
        <v>96.35</v>
      </c>
      <c r="G26" s="31">
        <v>31</v>
      </c>
      <c r="H26" s="31">
        <v>22.5</v>
      </c>
      <c r="I26" s="30">
        <v>75</v>
      </c>
      <c r="J26" s="31">
        <v>28.5</v>
      </c>
      <c r="K26" s="31">
        <v>580</v>
      </c>
      <c r="L26" s="32" t="s">
        <v>69</v>
      </c>
      <c r="M26" s="45"/>
    </row>
    <row r="27" spans="1:13" ht="18">
      <c r="A27" s="57" t="s">
        <v>84</v>
      </c>
      <c r="B27" s="26">
        <f>TRUNC(25.4347*(18-B58)^1.81)</f>
        <v>0</v>
      </c>
      <c r="C27" s="58">
        <f>TRUNC(0.14354*(C58-220)^1.4)</f>
        <v>39</v>
      </c>
      <c r="D27" s="58">
        <f>TRUNC(51.39*(D58-1.5)^1.05)</f>
        <v>601</v>
      </c>
      <c r="E27" s="58">
        <f>TRUNC(0.84565*(E58-75)^1.42)</f>
        <v>380</v>
      </c>
      <c r="F27" s="58">
        <f>TRUNC(1.53775*(82-F58)^1.81)</f>
        <v>0</v>
      </c>
      <c r="G27" s="58">
        <f>TRUNC(5.74352*(28.5-G58)^1.92)</f>
        <v>0</v>
      </c>
      <c r="H27" s="58">
        <f>TRUNC(12.91*(H58-4)^1.1)</f>
        <v>362</v>
      </c>
      <c r="I27" s="58">
        <f>TRUNC(0.2797*(I58-100)^1.35)</f>
        <v>0</v>
      </c>
      <c r="J27" s="58">
        <f>TRUNC(10.14*(J58-7)^1.08)</f>
        <v>443</v>
      </c>
      <c r="K27" s="58">
        <f>TRUNC(0.03768*(480-K58)^1.85)</f>
        <v>0</v>
      </c>
      <c r="L27" s="27"/>
      <c r="M27" s="59">
        <f>SUM(B27:K27)</f>
        <v>1825</v>
      </c>
    </row>
    <row r="28" spans="1:13" ht="18">
      <c r="A28" s="60" t="s">
        <v>92</v>
      </c>
      <c r="B28" s="9"/>
      <c r="C28" s="11"/>
      <c r="D28" s="11"/>
      <c r="E28" s="11"/>
      <c r="F28" s="11"/>
      <c r="G28" s="11"/>
      <c r="H28" s="11"/>
      <c r="I28" s="11"/>
      <c r="J28" s="11"/>
      <c r="K28" s="11"/>
      <c r="L28" s="6"/>
      <c r="M28" s="61"/>
    </row>
    <row r="29" spans="1:13" ht="18">
      <c r="A29" s="62"/>
      <c r="B29" s="9"/>
      <c r="C29" s="11"/>
      <c r="D29" s="11"/>
      <c r="E29" s="11"/>
      <c r="F29" s="11"/>
      <c r="G29" s="11"/>
      <c r="H29" s="11"/>
      <c r="I29" s="11"/>
      <c r="J29" s="11"/>
      <c r="K29" s="11"/>
      <c r="L29" s="6"/>
      <c r="M29" s="61"/>
    </row>
    <row r="30" spans="1:13" ht="18">
      <c r="A30" s="60" t="s">
        <v>63</v>
      </c>
      <c r="B30" s="9"/>
      <c r="C30" s="11"/>
      <c r="D30" s="11"/>
      <c r="E30" s="11"/>
      <c r="F30" s="11"/>
      <c r="G30" s="11"/>
      <c r="H30" s="11"/>
      <c r="I30" s="11"/>
      <c r="J30" s="11"/>
      <c r="K30" s="11"/>
      <c r="L30" s="6"/>
      <c r="M30" s="61"/>
    </row>
    <row r="31" spans="1:13" ht="18">
      <c r="A31" s="62"/>
      <c r="B31" s="9"/>
      <c r="C31" s="11"/>
      <c r="D31" s="11"/>
      <c r="E31" s="11"/>
      <c r="F31" s="11"/>
      <c r="G31" s="11"/>
      <c r="H31" s="11"/>
      <c r="I31" s="11"/>
      <c r="J31" s="11"/>
      <c r="K31" s="11"/>
      <c r="L31" s="6"/>
      <c r="M31" s="61"/>
    </row>
    <row r="32" ht="17.25" customHeight="1">
      <c r="A32" s="63" t="s">
        <v>62</v>
      </c>
    </row>
    <row r="33" ht="17.25" customHeight="1">
      <c r="A33" s="63"/>
    </row>
    <row r="34" ht="17.25" customHeight="1">
      <c r="A34" s="63" t="s">
        <v>46</v>
      </c>
    </row>
    <row r="35" ht="17.25" customHeight="1">
      <c r="A35" s="63"/>
    </row>
    <row r="36" ht="17.25" customHeight="1">
      <c r="A36" s="63" t="s">
        <v>45</v>
      </c>
    </row>
    <row r="37" ht="17.25" customHeight="1">
      <c r="A37" s="63"/>
    </row>
    <row r="38" ht="17.25" customHeight="1">
      <c r="A38" s="63"/>
    </row>
    <row r="39" spans="1:13" ht="18">
      <c r="A39" t="s">
        <v>55</v>
      </c>
      <c r="B39" s="19">
        <v>0.8633000000000001</v>
      </c>
      <c r="C39" s="19">
        <v>1.3417</v>
      </c>
      <c r="D39" s="19">
        <v>1.2736</v>
      </c>
      <c r="E39" s="19">
        <v>1.2947</v>
      </c>
      <c r="F39" s="19">
        <v>0.8433</v>
      </c>
      <c r="G39" s="33">
        <v>0.9085000000000001</v>
      </c>
      <c r="H39" s="19">
        <v>1.0984</v>
      </c>
      <c r="I39" s="19">
        <v>1.3628</v>
      </c>
      <c r="J39" s="19">
        <v>1.4059</v>
      </c>
      <c r="K39" s="19">
        <v>0.8181</v>
      </c>
      <c r="M39" s="45"/>
    </row>
    <row r="40" spans="1:13" ht="15">
      <c r="A40" s="12" t="s">
        <v>113</v>
      </c>
      <c r="B40" s="64">
        <f aca="true" t="shared" si="0" ref="B40:K40">B39*B8</f>
        <v>12.43152</v>
      </c>
      <c r="C40" s="65">
        <f t="shared" si="0"/>
        <v>567.5391</v>
      </c>
      <c r="D40" s="66">
        <f t="shared" si="0"/>
        <v>10.1888</v>
      </c>
      <c r="E40" s="65">
        <f t="shared" si="0"/>
        <v>168.311</v>
      </c>
      <c r="F40" s="67">
        <f t="shared" si="0"/>
        <v>58.94667000000001</v>
      </c>
      <c r="G40" s="66">
        <f t="shared" si="0"/>
        <v>17.91562</v>
      </c>
      <c r="H40" s="66">
        <f t="shared" si="0"/>
        <v>23.0664</v>
      </c>
      <c r="I40" s="68">
        <f t="shared" si="0"/>
        <v>340.7</v>
      </c>
      <c r="J40" s="66">
        <f t="shared" si="0"/>
        <v>40.7711</v>
      </c>
      <c r="K40" s="66">
        <f t="shared" si="0"/>
        <v>281.18097</v>
      </c>
      <c r="L40" s="69" t="s">
        <v>102</v>
      </c>
      <c r="M40" s="70"/>
    </row>
    <row r="41" spans="1:13" ht="18">
      <c r="A41" t="s">
        <v>55</v>
      </c>
      <c r="B41" s="19">
        <v>0.8633000000000001</v>
      </c>
      <c r="C41" s="19">
        <v>1.3417</v>
      </c>
      <c r="D41" s="19">
        <v>1.2736</v>
      </c>
      <c r="E41" s="19">
        <v>1.2947</v>
      </c>
      <c r="F41" s="19">
        <v>0.8433</v>
      </c>
      <c r="G41" s="33">
        <v>0.9085000000000001</v>
      </c>
      <c r="H41" s="19">
        <v>1.0984</v>
      </c>
      <c r="I41" s="19">
        <v>1.3628</v>
      </c>
      <c r="J41" s="19">
        <v>1.4059</v>
      </c>
      <c r="K41" s="19">
        <v>0.8181</v>
      </c>
      <c r="M41" s="45"/>
    </row>
    <row r="42" spans="1:13" ht="15">
      <c r="A42" s="12" t="s">
        <v>113</v>
      </c>
      <c r="B42" s="64">
        <f aca="true" t="shared" si="1" ref="B42:K42">B41*B10</f>
        <v>11.999870000000001</v>
      </c>
      <c r="C42" s="65">
        <f t="shared" si="1"/>
        <v>544.7302</v>
      </c>
      <c r="D42" s="66">
        <f t="shared" si="1"/>
        <v>8.9152</v>
      </c>
      <c r="E42" s="65">
        <f t="shared" si="1"/>
        <v>161.8375</v>
      </c>
      <c r="F42" s="67">
        <f t="shared" si="1"/>
        <v>57.76605</v>
      </c>
      <c r="G42" s="66">
        <f t="shared" si="1"/>
        <v>18.079150000000002</v>
      </c>
      <c r="H42" s="66">
        <f t="shared" si="1"/>
        <v>18.672800000000002</v>
      </c>
      <c r="I42" s="68">
        <f t="shared" si="1"/>
        <v>313.444</v>
      </c>
      <c r="J42" s="66">
        <f t="shared" si="1"/>
        <v>40.48992</v>
      </c>
      <c r="K42" s="66">
        <f t="shared" si="1"/>
        <v>280.77192</v>
      </c>
      <c r="L42" s="69"/>
      <c r="M42" s="70"/>
    </row>
    <row r="43" spans="1:13" ht="18">
      <c r="A43" t="s">
        <v>55</v>
      </c>
      <c r="B43" s="19">
        <v>0.8633000000000001</v>
      </c>
      <c r="C43" s="19">
        <v>1.3417</v>
      </c>
      <c r="D43" s="19">
        <v>1.2736</v>
      </c>
      <c r="E43" s="19">
        <v>1.2947</v>
      </c>
      <c r="F43" s="19">
        <v>0.8433</v>
      </c>
      <c r="G43" s="33">
        <v>0.9085000000000001</v>
      </c>
      <c r="H43" s="19">
        <v>1.0984</v>
      </c>
      <c r="I43" s="19">
        <v>1.3628</v>
      </c>
      <c r="J43" s="19">
        <v>1.4059</v>
      </c>
      <c r="K43" s="19">
        <v>0.8181</v>
      </c>
      <c r="M43" s="45"/>
    </row>
    <row r="44" spans="1:13" ht="15">
      <c r="A44" s="12" t="s">
        <v>113</v>
      </c>
      <c r="B44" s="64">
        <f aca="true" t="shared" si="2" ref="B44:K44">B43*B12</f>
        <v>12.43152</v>
      </c>
      <c r="C44" s="65">
        <f t="shared" si="2"/>
        <v>515.2128</v>
      </c>
      <c r="D44" s="66">
        <f t="shared" si="2"/>
        <v>9.80672</v>
      </c>
      <c r="E44" s="65">
        <f t="shared" si="2"/>
        <v>168.311</v>
      </c>
      <c r="F44" s="67">
        <f t="shared" si="2"/>
        <v>61.30791000000001</v>
      </c>
      <c r="G44" s="66">
        <f t="shared" si="2"/>
        <v>19.4419</v>
      </c>
      <c r="H44" s="66">
        <f t="shared" si="2"/>
        <v>19.7712</v>
      </c>
      <c r="I44" s="68">
        <f t="shared" si="2"/>
        <v>286.188</v>
      </c>
      <c r="J44" s="66">
        <f t="shared" si="2"/>
        <v>30.22685</v>
      </c>
      <c r="K44" s="66">
        <f t="shared" si="2"/>
        <v>308.50551</v>
      </c>
      <c r="L44" s="69"/>
      <c r="M44" s="70"/>
    </row>
    <row r="45" spans="1:13" ht="18">
      <c r="A45" t="s">
        <v>55</v>
      </c>
      <c r="B45" s="19">
        <v>0.8633000000000001</v>
      </c>
      <c r="C45" s="19">
        <v>1.3417</v>
      </c>
      <c r="D45" s="19">
        <v>1.2736</v>
      </c>
      <c r="E45" s="19">
        <v>1.2947</v>
      </c>
      <c r="F45" s="19">
        <v>0.8433</v>
      </c>
      <c r="G45" s="33">
        <v>0.9085000000000001</v>
      </c>
      <c r="H45" s="19">
        <v>1.0984</v>
      </c>
      <c r="I45" s="19">
        <v>1.3628</v>
      </c>
      <c r="J45" s="19">
        <v>1.4059</v>
      </c>
      <c r="K45" s="19">
        <v>0.8181</v>
      </c>
      <c r="M45" s="45"/>
    </row>
    <row r="46" spans="1:13" ht="15">
      <c r="A46" s="12" t="s">
        <v>113</v>
      </c>
      <c r="B46" s="34">
        <f aca="true" t="shared" si="3" ref="B46:K46">B45*B14</f>
        <v>17.87031</v>
      </c>
      <c r="C46" s="35">
        <f t="shared" si="3"/>
        <v>429.34399999999994</v>
      </c>
      <c r="D46" s="36">
        <f t="shared" si="3"/>
        <v>7.6416</v>
      </c>
      <c r="E46" s="35">
        <f t="shared" si="3"/>
        <v>161.8375</v>
      </c>
      <c r="F46" s="37">
        <f t="shared" si="3"/>
        <v>81.8001</v>
      </c>
      <c r="G46" s="36">
        <f t="shared" si="3"/>
        <v>28.163500000000003</v>
      </c>
      <c r="H46" s="36">
        <f t="shared" si="3"/>
        <v>15.377600000000001</v>
      </c>
      <c r="I46" s="38">
        <f t="shared" si="3"/>
        <v>340.7</v>
      </c>
      <c r="J46" s="36">
        <f t="shared" si="3"/>
        <v>23.900299999999998</v>
      </c>
      <c r="K46" s="36">
        <f t="shared" si="3"/>
        <v>474.49800000000005</v>
      </c>
      <c r="L46" s="39"/>
      <c r="M46" s="70"/>
    </row>
    <row r="47" spans="1:13" ht="18">
      <c r="A47" t="s">
        <v>55</v>
      </c>
      <c r="B47" s="19">
        <v>0.8633000000000001</v>
      </c>
      <c r="C47" s="19">
        <v>1.3417</v>
      </c>
      <c r="D47" s="19">
        <v>1.2736</v>
      </c>
      <c r="E47" s="19">
        <v>1.2947</v>
      </c>
      <c r="F47" s="19">
        <v>0.8433</v>
      </c>
      <c r="G47" s="33">
        <v>0.9085000000000001</v>
      </c>
      <c r="H47" s="19">
        <v>1.0984</v>
      </c>
      <c r="I47" s="19">
        <v>1.3628</v>
      </c>
      <c r="J47" s="19">
        <v>1.4059</v>
      </c>
      <c r="K47" s="19">
        <v>0.8181</v>
      </c>
      <c r="M47" s="45"/>
    </row>
    <row r="48" spans="1:13" ht="15">
      <c r="A48" s="12" t="s">
        <v>113</v>
      </c>
      <c r="B48" s="34">
        <f aca="true" t="shared" si="4" ref="B48:K48">B47*B16</f>
        <v>15.798390000000001</v>
      </c>
      <c r="C48" s="35">
        <f t="shared" si="4"/>
        <v>360.91729999999995</v>
      </c>
      <c r="D48" s="36">
        <f t="shared" si="4"/>
        <v>9.29728</v>
      </c>
      <c r="E48" s="35">
        <f t="shared" si="4"/>
        <v>142.417</v>
      </c>
      <c r="F48" s="37">
        <f t="shared" si="4"/>
        <v>70.24689000000001</v>
      </c>
      <c r="G48" s="36">
        <f t="shared" si="4"/>
        <v>28.163500000000003</v>
      </c>
      <c r="H48" s="36">
        <f t="shared" si="4"/>
        <v>20.3204</v>
      </c>
      <c r="I48" s="38">
        <f t="shared" si="4"/>
        <v>218.048</v>
      </c>
      <c r="J48" s="36">
        <f t="shared" si="4"/>
        <v>35.1475</v>
      </c>
      <c r="K48" s="36">
        <f t="shared" si="4"/>
        <v>334.52109</v>
      </c>
      <c r="L48" s="39" t="s">
        <v>102</v>
      </c>
      <c r="M48" s="70"/>
    </row>
    <row r="49" spans="1:13" ht="18">
      <c r="A49" t="s">
        <v>55</v>
      </c>
      <c r="B49" s="19">
        <v>0.8633000000000001</v>
      </c>
      <c r="C49" s="19">
        <v>1.3417</v>
      </c>
      <c r="D49" s="19">
        <v>1.2736</v>
      </c>
      <c r="E49" s="19">
        <v>1.2947</v>
      </c>
      <c r="F49" s="19">
        <v>0.8433</v>
      </c>
      <c r="G49" s="33">
        <v>0.9085000000000001</v>
      </c>
      <c r="H49" s="19">
        <v>1.0984</v>
      </c>
      <c r="I49" s="19">
        <v>1.3628</v>
      </c>
      <c r="J49" s="19">
        <v>1.4059</v>
      </c>
      <c r="K49" s="19">
        <v>0.8181</v>
      </c>
      <c r="M49" s="45"/>
    </row>
    <row r="50" spans="1:13" ht="15">
      <c r="A50" s="12" t="s">
        <v>113</v>
      </c>
      <c r="B50" s="34">
        <f aca="true" t="shared" si="5" ref="B50:K50">B49*B18</f>
        <v>14.676100000000002</v>
      </c>
      <c r="C50" s="35">
        <f t="shared" si="5"/>
        <v>360.91729999999995</v>
      </c>
      <c r="D50" s="36">
        <f t="shared" si="5"/>
        <v>8.66048</v>
      </c>
      <c r="E50" s="35">
        <f t="shared" si="5"/>
        <v>75.0926</v>
      </c>
      <c r="F50" s="37">
        <f t="shared" si="5"/>
        <v>74.2104</v>
      </c>
      <c r="G50" s="36">
        <f t="shared" si="5"/>
        <v>28.163500000000003</v>
      </c>
      <c r="H50" s="36">
        <f t="shared" si="5"/>
        <v>18.672800000000002</v>
      </c>
      <c r="I50" s="38">
        <f t="shared" si="5"/>
        <v>102.21000000000001</v>
      </c>
      <c r="J50" s="36">
        <f t="shared" si="5"/>
        <v>32.616879999999995</v>
      </c>
      <c r="K50" s="36">
        <f t="shared" si="5"/>
        <v>474.49800000000005</v>
      </c>
      <c r="L50" s="39" t="s">
        <v>102</v>
      </c>
      <c r="M50" s="70"/>
    </row>
    <row r="51" spans="1:13" ht="18">
      <c r="A51" t="s">
        <v>55</v>
      </c>
      <c r="B51" s="19">
        <v>0.8633000000000001</v>
      </c>
      <c r="C51" s="19">
        <v>1.3417</v>
      </c>
      <c r="D51" s="19">
        <v>1.2736</v>
      </c>
      <c r="E51" s="19">
        <v>1.2947</v>
      </c>
      <c r="F51" s="19">
        <v>0.8433</v>
      </c>
      <c r="G51" s="33">
        <v>0.9085000000000001</v>
      </c>
      <c r="H51" s="19">
        <v>1.0984</v>
      </c>
      <c r="I51" s="19">
        <v>1.3628</v>
      </c>
      <c r="J51" s="19">
        <v>1.4059</v>
      </c>
      <c r="K51" s="19">
        <v>0.8181</v>
      </c>
      <c r="M51" s="45"/>
    </row>
    <row r="52" spans="1:13" ht="15">
      <c r="A52" s="12" t="s">
        <v>113</v>
      </c>
      <c r="B52" s="34">
        <f aca="true" t="shared" si="6" ref="B52:K52">B51*B20</f>
        <v>17.87031</v>
      </c>
      <c r="C52" s="35">
        <f t="shared" si="6"/>
        <v>222.7222</v>
      </c>
      <c r="D52" s="36">
        <f t="shared" si="6"/>
        <v>9.04256</v>
      </c>
      <c r="E52" s="35">
        <f t="shared" si="6"/>
        <v>75.0926</v>
      </c>
      <c r="F52" s="37">
        <f t="shared" si="6"/>
        <v>81.251955</v>
      </c>
      <c r="G52" s="36">
        <f t="shared" si="6"/>
        <v>28.163500000000003</v>
      </c>
      <c r="H52" s="36">
        <f t="shared" si="6"/>
        <v>19.44168</v>
      </c>
      <c r="I52" s="38">
        <f t="shared" si="6"/>
        <v>102.21000000000001</v>
      </c>
      <c r="J52" s="36">
        <f t="shared" si="6"/>
        <v>25.306199999999997</v>
      </c>
      <c r="K52" s="36">
        <f t="shared" si="6"/>
        <v>474.49800000000005</v>
      </c>
      <c r="L52" s="39" t="s">
        <v>102</v>
      </c>
      <c r="M52" s="70"/>
    </row>
    <row r="53" spans="1:13" ht="18">
      <c r="A53" t="s">
        <v>55</v>
      </c>
      <c r="B53" s="19">
        <v>0.8633000000000001</v>
      </c>
      <c r="C53" s="19">
        <v>1.3417</v>
      </c>
      <c r="D53" s="19">
        <v>1.2736</v>
      </c>
      <c r="E53" s="19">
        <v>1.2947</v>
      </c>
      <c r="F53" s="19">
        <v>0.8433</v>
      </c>
      <c r="G53" s="33">
        <v>0.9085000000000001</v>
      </c>
      <c r="H53" s="19">
        <v>1.0984</v>
      </c>
      <c r="I53" s="19">
        <v>1.3628</v>
      </c>
      <c r="J53" s="19">
        <v>1.4059</v>
      </c>
      <c r="K53" s="19">
        <v>0.8181</v>
      </c>
      <c r="M53" s="45"/>
    </row>
    <row r="54" spans="1:13" ht="15">
      <c r="A54" s="12" t="s">
        <v>113</v>
      </c>
      <c r="B54" s="34">
        <f aca="true" t="shared" si="7" ref="B54:K54">B53*B22</f>
        <v>17.87031</v>
      </c>
      <c r="C54" s="35">
        <f t="shared" si="7"/>
        <v>222.7222</v>
      </c>
      <c r="D54" s="36">
        <f t="shared" si="7"/>
        <v>7.06848</v>
      </c>
      <c r="E54" s="35">
        <f t="shared" si="7"/>
        <v>75.0926</v>
      </c>
      <c r="F54" s="37">
        <f t="shared" si="7"/>
        <v>81.251955</v>
      </c>
      <c r="G54" s="36">
        <f t="shared" si="7"/>
        <v>28.163500000000003</v>
      </c>
      <c r="H54" s="36">
        <f t="shared" si="7"/>
        <v>4.0970320000000005</v>
      </c>
      <c r="I54" s="38">
        <f t="shared" si="7"/>
        <v>102.21000000000001</v>
      </c>
      <c r="J54" s="36">
        <f t="shared" si="7"/>
        <v>7.099794999999999</v>
      </c>
      <c r="K54" s="36">
        <f t="shared" si="7"/>
        <v>474.49800000000005</v>
      </c>
      <c r="L54" s="39" t="s">
        <v>102</v>
      </c>
      <c r="M54" s="70"/>
    </row>
    <row r="55" spans="1:13" ht="18">
      <c r="A55" t="s">
        <v>55</v>
      </c>
      <c r="B55" s="19">
        <v>0.8633000000000001</v>
      </c>
      <c r="C55" s="19">
        <v>1.3417</v>
      </c>
      <c r="D55" s="19">
        <v>1.2736</v>
      </c>
      <c r="E55" s="19">
        <v>1.2947</v>
      </c>
      <c r="F55" s="19">
        <v>0.8433</v>
      </c>
      <c r="G55" s="33">
        <v>0.9085000000000001</v>
      </c>
      <c r="H55" s="19">
        <v>1.0984</v>
      </c>
      <c r="I55" s="19">
        <v>1.3628</v>
      </c>
      <c r="J55" s="19">
        <v>1.4059</v>
      </c>
      <c r="K55" s="19">
        <v>0.8181</v>
      </c>
      <c r="M55" s="45"/>
    </row>
    <row r="56" spans="1:13" ht="15">
      <c r="A56" s="12" t="s">
        <v>113</v>
      </c>
      <c r="B56" s="34">
        <f aca="true" t="shared" si="8" ref="B56:K56">B55*B24</f>
        <v>17.87031</v>
      </c>
      <c r="C56" s="35">
        <f t="shared" si="8"/>
        <v>222.7222</v>
      </c>
      <c r="D56" s="36">
        <f t="shared" si="8"/>
        <v>12.0992</v>
      </c>
      <c r="E56" s="35">
        <f t="shared" si="8"/>
        <v>75.0926</v>
      </c>
      <c r="F56" s="37">
        <f t="shared" si="8"/>
        <v>81.251955</v>
      </c>
      <c r="G56" s="36">
        <f t="shared" si="8"/>
        <v>28.163500000000003</v>
      </c>
      <c r="H56" s="36">
        <f t="shared" si="8"/>
        <v>23.6156</v>
      </c>
      <c r="I56" s="38">
        <f t="shared" si="8"/>
        <v>102.21000000000001</v>
      </c>
      <c r="J56" s="36">
        <f t="shared" si="8"/>
        <v>34.58514</v>
      </c>
      <c r="K56" s="36">
        <f t="shared" si="8"/>
        <v>474.49800000000005</v>
      </c>
      <c r="L56" s="39" t="s">
        <v>102</v>
      </c>
      <c r="M56" s="70"/>
    </row>
    <row r="57" spans="1:13" ht="18">
      <c r="A57" t="s">
        <v>55</v>
      </c>
      <c r="B57" s="19">
        <v>0.8633000000000001</v>
      </c>
      <c r="C57" s="19">
        <v>1.3417</v>
      </c>
      <c r="D57" s="19">
        <v>1.2736</v>
      </c>
      <c r="E57" s="19">
        <v>1.2947</v>
      </c>
      <c r="F57" s="19">
        <v>0.8433</v>
      </c>
      <c r="G57" s="33">
        <v>0.9085000000000001</v>
      </c>
      <c r="H57" s="19">
        <v>1.0984</v>
      </c>
      <c r="I57" s="19">
        <v>1.3628</v>
      </c>
      <c r="J57" s="19">
        <v>1.4059</v>
      </c>
      <c r="K57" s="19">
        <v>0.8181</v>
      </c>
      <c r="M57" s="45"/>
    </row>
    <row r="58" spans="1:13" ht="15">
      <c r="A58" s="12" t="s">
        <v>113</v>
      </c>
      <c r="B58" s="34">
        <f aca="true" t="shared" si="9" ref="B58:K58">B57*B26</f>
        <v>17.87031</v>
      </c>
      <c r="C58" s="35">
        <f t="shared" si="9"/>
        <v>275.0485</v>
      </c>
      <c r="D58" s="36">
        <f t="shared" si="9"/>
        <v>11.90816</v>
      </c>
      <c r="E58" s="35">
        <f t="shared" si="9"/>
        <v>148.8905</v>
      </c>
      <c r="F58" s="37">
        <f t="shared" si="9"/>
        <v>81.251955</v>
      </c>
      <c r="G58" s="36">
        <f t="shared" si="9"/>
        <v>28.163500000000003</v>
      </c>
      <c r="H58" s="36">
        <f t="shared" si="9"/>
        <v>24.714000000000002</v>
      </c>
      <c r="I58" s="38">
        <f t="shared" si="9"/>
        <v>102.21000000000001</v>
      </c>
      <c r="J58" s="36">
        <f t="shared" si="9"/>
        <v>40.068149999999996</v>
      </c>
      <c r="K58" s="36">
        <f t="shared" si="9"/>
        <v>474.49800000000005</v>
      </c>
      <c r="L58" s="39" t="s">
        <v>102</v>
      </c>
      <c r="M58" s="70"/>
    </row>
  </sheetData>
  <sheetProtection/>
  <printOptions/>
  <pageMargins left="0.7477777600288391" right="0.7477777600288391" top="0.9840278029441833" bottom="0.9840278029441833" header="0.5115277767181396" footer="0.511527776718139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SheetLayoutView="75" zoomScalePageLayoutView="0" workbookViewId="0" topLeftCell="A1">
      <selection activeCell="F13" sqref="F13"/>
    </sheetView>
  </sheetViews>
  <sheetFormatPr defaultColWidth="9.140625" defaultRowHeight="12.75"/>
  <cols>
    <col min="1" max="1" width="18.421875" style="0" customWidth="1"/>
    <col min="5" max="5" width="10.28125" style="0" customWidth="1"/>
  </cols>
  <sheetData>
    <row r="1" spans="1:5" ht="20.25">
      <c r="A1" s="28" t="str">
        <f>'2016'!A1</f>
        <v>XXXVIIDecathlon</v>
      </c>
      <c r="E1" s="77" t="str">
        <f>'2016'!F1</f>
        <v>Hyrylä 31.8.2016</v>
      </c>
    </row>
    <row r="2" spans="1:3" ht="41.25" customHeight="1">
      <c r="A2" s="76" t="s">
        <v>106</v>
      </c>
      <c r="C2" s="7"/>
    </row>
    <row r="3" spans="1:5" ht="24" customHeight="1">
      <c r="A3" s="78" t="s">
        <v>32</v>
      </c>
      <c r="B3" s="84">
        <v>1</v>
      </c>
      <c r="C3" s="79">
        <v>2</v>
      </c>
      <c r="D3" s="84">
        <v>3</v>
      </c>
      <c r="E3" s="80" t="s">
        <v>31</v>
      </c>
    </row>
    <row r="4" spans="1:5" ht="30.75" customHeight="1">
      <c r="A4" s="86" t="str">
        <f>'2016'!A19</f>
        <v>Lasse-Miehikkälä 2015 </v>
      </c>
      <c r="B4" s="90"/>
      <c r="C4" s="90"/>
      <c r="D4" s="90">
        <v>404</v>
      </c>
      <c r="E4" s="87">
        <f aca="true" t="shared" si="0" ref="E4:E13">MAX(B4:D4)</f>
        <v>404</v>
      </c>
    </row>
    <row r="5" spans="1:5" ht="30.75" customHeight="1">
      <c r="A5" s="88" t="str">
        <f>'2016'!A24</f>
        <v>Vesa</v>
      </c>
      <c r="B5" s="90"/>
      <c r="C5" s="90"/>
      <c r="D5" s="90">
        <v>333</v>
      </c>
      <c r="E5" s="87">
        <f t="shared" si="0"/>
        <v>333</v>
      </c>
    </row>
    <row r="6" spans="1:5" ht="30.75" customHeight="1">
      <c r="A6" s="89" t="str">
        <f>'2016'!A26</f>
        <v>Jukka</v>
      </c>
      <c r="B6" s="90"/>
      <c r="C6" s="90"/>
      <c r="D6" s="90">
        <v>354</v>
      </c>
      <c r="E6" s="87">
        <f t="shared" si="0"/>
        <v>354</v>
      </c>
    </row>
    <row r="7" spans="1:5" ht="30.75" customHeight="1">
      <c r="A7" s="88" t="str">
        <f>'2016'!A30</f>
        <v>Artturi  </v>
      </c>
      <c r="B7" s="90"/>
      <c r="C7" s="90"/>
      <c r="D7" s="90">
        <v>296</v>
      </c>
      <c r="E7" s="87">
        <f t="shared" si="0"/>
        <v>296</v>
      </c>
    </row>
    <row r="8" spans="1:5" ht="30.75" customHeight="1">
      <c r="A8" s="88" t="str">
        <f>'2016'!A28</f>
        <v>Arto</v>
      </c>
      <c r="B8" s="90"/>
      <c r="C8" s="90"/>
      <c r="D8" s="90"/>
      <c r="E8" s="87">
        <f t="shared" si="0"/>
        <v>0</v>
      </c>
    </row>
    <row r="9" spans="1:5" ht="30.75" customHeight="1">
      <c r="A9" s="88" t="str">
        <f>'2016'!A34</f>
        <v>Olavi</v>
      </c>
      <c r="B9" s="90"/>
      <c r="C9" s="90"/>
      <c r="D9" s="90"/>
      <c r="E9" s="87">
        <f t="shared" si="0"/>
        <v>0</v>
      </c>
    </row>
    <row r="10" spans="1:5" ht="30.75" customHeight="1">
      <c r="A10" s="88" t="str">
        <f>'2016'!A38</f>
        <v>Timppa</v>
      </c>
      <c r="B10" s="90"/>
      <c r="C10" s="90"/>
      <c r="D10" s="90"/>
      <c r="E10" s="87">
        <f t="shared" si="0"/>
        <v>0</v>
      </c>
    </row>
    <row r="11" spans="1:5" ht="30.75" customHeight="1">
      <c r="A11" s="88" t="str">
        <f>'2016'!A40</f>
        <v>Masa</v>
      </c>
      <c r="B11" s="90"/>
      <c r="C11" s="90"/>
      <c r="D11" s="90"/>
      <c r="E11" s="87">
        <f t="shared" si="0"/>
        <v>0</v>
      </c>
    </row>
    <row r="12" spans="1:5" ht="30.75" customHeight="1">
      <c r="A12" s="88" t="str">
        <f>'2016'!A36</f>
        <v>Asko</v>
      </c>
      <c r="B12" s="90"/>
      <c r="C12" s="90"/>
      <c r="D12" s="90"/>
      <c r="E12" s="87">
        <f t="shared" si="0"/>
        <v>0</v>
      </c>
    </row>
    <row r="13" spans="1:5" ht="30.75" customHeight="1">
      <c r="A13" s="81" t="str">
        <f>'2016'!A32</f>
        <v>VeeVee</v>
      </c>
      <c r="B13" s="85"/>
      <c r="C13" s="82"/>
      <c r="D13" s="85">
        <v>277</v>
      </c>
      <c r="E13" s="83">
        <f t="shared" si="0"/>
        <v>277</v>
      </c>
    </row>
  </sheetData>
  <sheetProtection/>
  <printOptions/>
  <pageMargins left="0.7477777600288391" right="0.7477777600288391" top="0.9840278029441833" bottom="0.9840278029441833" header="0.5115277767181396" footer="0.511527776718139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75" zoomScalePageLayoutView="0" workbookViewId="0" topLeftCell="A1">
      <selection activeCell="D16" sqref="D16"/>
    </sheetView>
  </sheetViews>
  <sheetFormatPr defaultColWidth="9.140625" defaultRowHeight="12.75"/>
  <cols>
    <col min="1" max="1" width="15.57421875" style="0" customWidth="1"/>
    <col min="2" max="4" width="12.140625" style="0" customWidth="1"/>
    <col min="5" max="5" width="11.421875" style="0" customWidth="1"/>
  </cols>
  <sheetData>
    <row r="1" spans="1:5" ht="20.25">
      <c r="A1" s="28" t="str">
        <f>'2016'!A1</f>
        <v>XXXVIIDecathlon</v>
      </c>
      <c r="E1" s="77" t="str">
        <f>'2016'!F1</f>
        <v>Hyrylä 31.8.2016</v>
      </c>
    </row>
    <row r="2" spans="1:3" ht="18">
      <c r="A2" s="76" t="s">
        <v>105</v>
      </c>
      <c r="C2" s="7"/>
    </row>
    <row r="4" spans="1:5" ht="18">
      <c r="A4" s="78" t="s">
        <v>32</v>
      </c>
      <c r="B4" s="84">
        <v>1</v>
      </c>
      <c r="C4" s="79">
        <v>2</v>
      </c>
      <c r="D4" s="84">
        <v>3</v>
      </c>
      <c r="E4" s="80" t="s">
        <v>31</v>
      </c>
    </row>
    <row r="5" spans="1:5" ht="28.5" customHeight="1">
      <c r="A5" s="86" t="str">
        <f>'2016'!A19</f>
        <v>Lasse-Miehikkälä 2015 </v>
      </c>
      <c r="B5" s="90"/>
      <c r="C5" s="90"/>
      <c r="D5" s="90">
        <v>8.84</v>
      </c>
      <c r="E5" s="87">
        <f aca="true" t="shared" si="0" ref="E5:E14">MAX(B5:D5)</f>
        <v>8.84</v>
      </c>
    </row>
    <row r="6" spans="1:5" ht="28.5" customHeight="1">
      <c r="A6" s="88" t="str">
        <f>'2016'!A24</f>
        <v>Vesa</v>
      </c>
      <c r="B6" s="90"/>
      <c r="C6" s="90"/>
      <c r="D6" s="90">
        <v>7.09</v>
      </c>
      <c r="E6" s="87">
        <f t="shared" si="0"/>
        <v>7.09</v>
      </c>
    </row>
    <row r="7" spans="1:5" ht="28.5" customHeight="1">
      <c r="A7" s="89" t="str">
        <f>'2016'!A26</f>
        <v>Jukka</v>
      </c>
      <c r="B7" s="90"/>
      <c r="C7" s="90"/>
      <c r="D7" s="90">
        <v>7.21</v>
      </c>
      <c r="E7" s="87">
        <f t="shared" si="0"/>
        <v>7.21</v>
      </c>
    </row>
    <row r="8" spans="1:5" ht="28.5" customHeight="1">
      <c r="A8" s="88" t="str">
        <f>'2016'!A30</f>
        <v>Artturi  </v>
      </c>
      <c r="B8" s="90"/>
      <c r="C8" s="90"/>
      <c r="D8" s="90">
        <v>6.89</v>
      </c>
      <c r="E8" s="87">
        <f t="shared" si="0"/>
        <v>6.89</v>
      </c>
    </row>
    <row r="9" spans="1:5" ht="28.5" customHeight="1">
      <c r="A9" s="88" t="str">
        <f>'2016'!A28</f>
        <v>Arto</v>
      </c>
      <c r="B9" s="90"/>
      <c r="C9" s="90"/>
      <c r="D9" s="90"/>
      <c r="E9" s="87">
        <f t="shared" si="0"/>
        <v>0</v>
      </c>
    </row>
    <row r="10" spans="1:5" ht="28.5" customHeight="1">
      <c r="A10" s="88" t="str">
        <f>'2016'!A34</f>
        <v>Olavi</v>
      </c>
      <c r="B10" s="90"/>
      <c r="C10" s="90"/>
      <c r="D10" s="90">
        <v>8.16</v>
      </c>
      <c r="E10" s="87">
        <f t="shared" si="0"/>
        <v>8.16</v>
      </c>
    </row>
    <row r="11" spans="1:5" ht="28.5" customHeight="1">
      <c r="A11" s="88" t="str">
        <f>'2016'!A38</f>
        <v>Timppa</v>
      </c>
      <c r="B11" s="90"/>
      <c r="C11" s="90"/>
      <c r="D11" s="90">
        <v>6.7</v>
      </c>
      <c r="E11" s="87">
        <f t="shared" si="0"/>
        <v>6.7</v>
      </c>
    </row>
    <row r="12" spans="1:5" ht="28.5" customHeight="1">
      <c r="A12" s="88" t="str">
        <f>'2016'!A40</f>
        <v>Masa</v>
      </c>
      <c r="B12" s="90"/>
      <c r="C12" s="90"/>
      <c r="D12" s="90"/>
      <c r="E12" s="87">
        <f t="shared" si="0"/>
        <v>0</v>
      </c>
    </row>
    <row r="13" spans="1:5" ht="28.5" customHeight="1">
      <c r="A13" s="88" t="str">
        <f>'2016'!A36</f>
        <v>Asko</v>
      </c>
      <c r="B13" s="90"/>
      <c r="C13" s="90"/>
      <c r="D13" s="90">
        <v>6.49</v>
      </c>
      <c r="E13" s="87">
        <f t="shared" si="0"/>
        <v>6.49</v>
      </c>
    </row>
    <row r="14" spans="1:5" ht="28.5" customHeight="1">
      <c r="A14" s="81" t="str">
        <f>'2016'!A32</f>
        <v>VeeVee</v>
      </c>
      <c r="B14" s="85"/>
      <c r="C14" s="82"/>
      <c r="D14" s="85">
        <v>6.62</v>
      </c>
      <c r="E14" s="87">
        <f t="shared" si="0"/>
        <v>6.62</v>
      </c>
    </row>
  </sheetData>
  <sheetProtection/>
  <printOptions/>
  <pageMargins left="0.7477777600288391" right="0.7477777600288391" top="0.9840278029441833" bottom="0.9840278029441833" header="0.5115277767181396" footer="0.511527776718139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80555772781372" right="0.7480555772781372" top="0.9843055605888367" bottom="0.9843055605888367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zoomScaleSheetLayoutView="75" zoomScalePageLayoutView="0" workbookViewId="0" topLeftCell="A1">
      <selection activeCell="H13" sqref="H13"/>
    </sheetView>
  </sheetViews>
  <sheetFormatPr defaultColWidth="9.140625" defaultRowHeight="12.75"/>
  <cols>
    <col min="1" max="1" width="16.00390625" style="0" customWidth="1"/>
    <col min="2" max="4" width="11.140625" style="0" customWidth="1"/>
    <col min="5" max="5" width="13.00390625" style="0" customWidth="1"/>
  </cols>
  <sheetData>
    <row r="1" spans="1:5" ht="30.75" customHeight="1">
      <c r="A1" s="28" t="str">
        <f>'2016'!A1</f>
        <v>XXXVIIDecathlon</v>
      </c>
      <c r="E1" s="77" t="str">
        <f>'2016'!F1</f>
        <v>Hyrylä 31.8.2016</v>
      </c>
    </row>
    <row r="2" spans="1:3" ht="31.5" customHeight="1">
      <c r="A2" s="76" t="s">
        <v>50</v>
      </c>
      <c r="C2" s="7"/>
    </row>
    <row r="3" spans="1:5" ht="18">
      <c r="A3" s="78" t="s">
        <v>32</v>
      </c>
      <c r="B3" s="84">
        <v>1</v>
      </c>
      <c r="C3" s="79">
        <v>2</v>
      </c>
      <c r="D3" s="84">
        <v>3</v>
      </c>
      <c r="E3" s="80" t="s">
        <v>31</v>
      </c>
    </row>
    <row r="4" spans="1:5" ht="27.75" customHeight="1">
      <c r="A4" s="86" t="str">
        <f>'2016'!A19</f>
        <v>Lasse-Miehikkälä 2015 </v>
      </c>
      <c r="B4" s="90"/>
      <c r="C4" s="90"/>
      <c r="D4" s="90">
        <v>27.67</v>
      </c>
      <c r="E4" s="87">
        <f aca="true" t="shared" si="0" ref="E4:E13">MAX(B4:D4)</f>
        <v>27.67</v>
      </c>
    </row>
    <row r="5" spans="1:5" ht="27.75" customHeight="1">
      <c r="A5" s="88" t="str">
        <f>'2016'!A24</f>
        <v>Vesa</v>
      </c>
      <c r="B5" s="90"/>
      <c r="C5" s="90"/>
      <c r="D5" s="90">
        <v>20.64</v>
      </c>
      <c r="E5" s="87">
        <f t="shared" si="0"/>
        <v>20.64</v>
      </c>
    </row>
    <row r="6" spans="1:5" ht="27.75" customHeight="1">
      <c r="A6" s="89" t="str">
        <f>'2016'!A26</f>
        <v>Jukka</v>
      </c>
      <c r="B6" s="90"/>
      <c r="C6" s="90"/>
      <c r="D6" s="90">
        <v>21.04</v>
      </c>
      <c r="E6" s="87">
        <f t="shared" si="0"/>
        <v>21.04</v>
      </c>
    </row>
    <row r="7" spans="1:5" ht="27.75" customHeight="1">
      <c r="A7" s="88" t="str">
        <f>'2016'!A30</f>
        <v>Artturi  </v>
      </c>
      <c r="B7" s="90"/>
      <c r="C7" s="90"/>
      <c r="D7" s="90">
        <v>17.11</v>
      </c>
      <c r="E7" s="87">
        <f t="shared" si="0"/>
        <v>17.11</v>
      </c>
    </row>
    <row r="8" spans="1:5" ht="27.75" customHeight="1">
      <c r="A8" s="88" t="str">
        <f>'2016'!A28</f>
        <v>Arto</v>
      </c>
      <c r="B8" s="90"/>
      <c r="C8" s="90"/>
      <c r="D8" s="90"/>
      <c r="E8" s="87">
        <f t="shared" si="0"/>
        <v>0</v>
      </c>
    </row>
    <row r="9" spans="1:5" ht="27.75" customHeight="1">
      <c r="A9" s="88" t="str">
        <f>'2016'!A34</f>
        <v>Olavi</v>
      </c>
      <c r="B9" s="90"/>
      <c r="C9" s="90"/>
      <c r="D9" s="90">
        <v>18.59</v>
      </c>
      <c r="E9" s="87">
        <f t="shared" si="0"/>
        <v>18.59</v>
      </c>
    </row>
    <row r="10" spans="1:5" ht="27.75" customHeight="1">
      <c r="A10" s="88" t="str">
        <f>'2016'!A38</f>
        <v>Timppa</v>
      </c>
      <c r="B10" s="90"/>
      <c r="C10" s="90"/>
      <c r="D10" s="90">
        <v>19.59</v>
      </c>
      <c r="E10" s="87">
        <f t="shared" si="0"/>
        <v>19.59</v>
      </c>
    </row>
    <row r="11" spans="1:5" ht="27.75" customHeight="1">
      <c r="A11" s="88" t="str">
        <f>'2016'!A40</f>
        <v>Masa</v>
      </c>
      <c r="B11" s="90"/>
      <c r="C11" s="90"/>
      <c r="D11" s="90"/>
      <c r="E11" s="87">
        <f t="shared" si="0"/>
        <v>0</v>
      </c>
    </row>
    <row r="12" spans="1:5" ht="27.75" customHeight="1">
      <c r="A12" s="88" t="str">
        <f>'2016'!A36</f>
        <v>Asko</v>
      </c>
      <c r="B12" s="90"/>
      <c r="C12" s="90"/>
      <c r="D12" s="90">
        <v>21.08</v>
      </c>
      <c r="E12" s="87">
        <f t="shared" si="0"/>
        <v>21.08</v>
      </c>
    </row>
    <row r="13" spans="1:5" ht="27.75" customHeight="1">
      <c r="A13" s="81" t="str">
        <f>'2016'!A32</f>
        <v>VeeVee</v>
      </c>
      <c r="B13" s="85"/>
      <c r="C13" s="82"/>
      <c r="D13" s="91">
        <v>17.5</v>
      </c>
      <c r="E13" s="92">
        <f t="shared" si="0"/>
        <v>17.5</v>
      </c>
    </row>
  </sheetData>
  <sheetProtection/>
  <printOptions/>
  <pageMargins left="0.7480555772781372" right="0.7480555772781372" top="0.9843055605888367" bottom="0.9843055605888367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H32" sqref="H32"/>
    </sheetView>
  </sheetViews>
  <sheetFormatPr defaultColWidth="9.140625" defaultRowHeight="12.75"/>
  <sheetData>
    <row r="1" ht="12.75">
      <c r="A1" t="s">
        <v>11</v>
      </c>
    </row>
  </sheetData>
  <sheetProtection/>
  <printOptions/>
  <pageMargins left="0.7477777600288391" right="0.7477777600288391" top="0.9840278029441833" bottom="0.9840278029441833" header="0.5115277767181396" footer="0.5115277767181396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zoomScaleSheetLayoutView="75" zoomScalePageLayoutView="0" workbookViewId="0" topLeftCell="A1">
      <selection activeCell="D10" sqref="D10"/>
    </sheetView>
  </sheetViews>
  <sheetFormatPr defaultColWidth="9.140625" defaultRowHeight="12.75"/>
  <cols>
    <col min="1" max="1" width="12.7109375" style="0" customWidth="1"/>
    <col min="2" max="5" width="13.28125" style="0" customWidth="1"/>
  </cols>
  <sheetData>
    <row r="1" spans="1:5" ht="20.25">
      <c r="A1" s="28" t="str">
        <f>'2016'!A1</f>
        <v>XXXVIIDecathlon</v>
      </c>
      <c r="E1" s="77" t="str">
        <f>'2016'!F1</f>
        <v>Hyrylä 31.8.2016</v>
      </c>
    </row>
    <row r="2" spans="1:3" ht="30.75" customHeight="1">
      <c r="A2" s="76" t="s">
        <v>50</v>
      </c>
      <c r="C2" s="7"/>
    </row>
    <row r="3" spans="1:5" ht="18">
      <c r="A3" s="78" t="s">
        <v>32</v>
      </c>
      <c r="B3" s="84">
        <v>1</v>
      </c>
      <c r="C3" s="79">
        <v>2</v>
      </c>
      <c r="D3" s="84">
        <v>3</v>
      </c>
      <c r="E3" s="80" t="s">
        <v>31</v>
      </c>
    </row>
    <row r="4" spans="1:5" ht="29.25" customHeight="1">
      <c r="A4" s="86" t="str">
        <f>'2016'!A19</f>
        <v>Lasse-Miehikkälä 2015 </v>
      </c>
      <c r="B4" s="90"/>
      <c r="C4" s="90"/>
      <c r="D4" s="90"/>
      <c r="E4" s="87">
        <f aca="true" t="shared" si="0" ref="E4:E13">MAX(B4:D4)</f>
        <v>0</v>
      </c>
    </row>
    <row r="5" spans="1:5" ht="29.25" customHeight="1">
      <c r="A5" s="88" t="str">
        <f>'2016'!A24</f>
        <v>Vesa</v>
      </c>
      <c r="B5" s="90"/>
      <c r="C5" s="90"/>
      <c r="D5" s="90">
        <v>22</v>
      </c>
      <c r="E5" s="87">
        <f t="shared" si="0"/>
        <v>22</v>
      </c>
    </row>
    <row r="6" spans="1:5" ht="29.25" customHeight="1">
      <c r="A6" s="89" t="str">
        <f>'2016'!A26</f>
        <v>Jukka</v>
      </c>
      <c r="B6" s="90"/>
      <c r="C6" s="90"/>
      <c r="D6" s="90">
        <v>21</v>
      </c>
      <c r="E6" s="87">
        <f t="shared" si="0"/>
        <v>21</v>
      </c>
    </row>
    <row r="7" spans="1:5" ht="29.25" customHeight="1">
      <c r="A7" s="88" t="str">
        <f>'2016'!A30</f>
        <v>Artturi  </v>
      </c>
      <c r="B7" s="90"/>
      <c r="C7" s="90"/>
      <c r="D7" s="90"/>
      <c r="E7" s="87">
        <f t="shared" si="0"/>
        <v>0</v>
      </c>
    </row>
    <row r="8" spans="1:5" ht="29.25" customHeight="1">
      <c r="A8" s="88" t="str">
        <f>'2016'!A28</f>
        <v>Arto</v>
      </c>
      <c r="B8" s="90"/>
      <c r="C8" s="90"/>
      <c r="D8" s="90"/>
      <c r="E8" s="87">
        <f t="shared" si="0"/>
        <v>0</v>
      </c>
    </row>
    <row r="9" spans="1:5" ht="29.25" customHeight="1">
      <c r="A9" s="88" t="str">
        <f>'2016'!A34</f>
        <v>Olavi</v>
      </c>
      <c r="B9" s="90"/>
      <c r="C9" s="90"/>
      <c r="D9" s="90"/>
      <c r="E9" s="87">
        <f t="shared" si="0"/>
        <v>0</v>
      </c>
    </row>
    <row r="10" spans="1:5" ht="29.25" customHeight="1">
      <c r="A10" s="88" t="str">
        <f>'2016'!A38</f>
        <v>Timppa</v>
      </c>
      <c r="B10" s="90"/>
      <c r="C10" s="90"/>
      <c r="D10" s="90"/>
      <c r="E10" s="87">
        <f t="shared" si="0"/>
        <v>0</v>
      </c>
    </row>
    <row r="11" spans="1:5" ht="29.25" customHeight="1">
      <c r="A11" s="88" t="str">
        <f>'2016'!A40</f>
        <v>Masa</v>
      </c>
      <c r="B11" s="90"/>
      <c r="C11" s="90"/>
      <c r="D11" s="90"/>
      <c r="E11" s="87">
        <f t="shared" si="0"/>
        <v>0</v>
      </c>
    </row>
    <row r="12" spans="1:5" ht="29.25" customHeight="1">
      <c r="A12" s="88" t="str">
        <f>'2016'!A36</f>
        <v>Asko</v>
      </c>
      <c r="B12" s="90"/>
      <c r="C12" s="90"/>
      <c r="D12" s="90"/>
      <c r="E12" s="87">
        <f t="shared" si="0"/>
        <v>0</v>
      </c>
    </row>
    <row r="13" spans="1:5" ht="29.25" customHeight="1">
      <c r="A13" s="81" t="str">
        <f>'2016'!A32</f>
        <v>VeeVee</v>
      </c>
      <c r="B13" s="85"/>
      <c r="C13" s="82"/>
      <c r="D13" s="85"/>
      <c r="E13" s="83">
        <f t="shared" si="0"/>
        <v>0</v>
      </c>
    </row>
  </sheetData>
  <sheetProtection/>
  <printOptions/>
  <pageMargins left="0.7480555772781372" right="0.7480555772781372" top="0.9843055605888367" bottom="0.984305560588836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Hancom Office Hcell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Heikki</dc:creator>
  <cp:keywords/>
  <dc:description/>
  <cp:lastModifiedBy>Heikki Artman</cp:lastModifiedBy>
  <cp:lastPrinted>2016-08-30T11:19:20Z</cp:lastPrinted>
  <dcterms:created xsi:type="dcterms:W3CDTF">2010-09-13T06:18:15Z</dcterms:created>
  <dcterms:modified xsi:type="dcterms:W3CDTF">2016-09-01T08:37:34Z</dcterms:modified>
  <cp:category/>
  <cp:version/>
  <cp:contentType/>
  <cp:contentStatus/>
  <cp:revision>29</cp:revision>
</cp:coreProperties>
</file>